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1.xml" ContentType="application/vnd.openxmlformats-officedocument.spreadsheetml.comments+xml"/>
  <Override PartName="/xl/drawings/drawing19.xml" ContentType="application/vnd.openxmlformats-officedocument.drawing+xml"/>
  <Override PartName="/xl/comments2.xml" ContentType="application/vnd.openxmlformats-officedocument.spreadsheetml.comments+xml"/>
  <Override PartName="/xl/drawings/drawing20.xml" ContentType="application/vnd.openxmlformats-officedocument.drawing+xml"/>
  <Override PartName="/xl/comments3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omments4.xml" ContentType="application/vnd.openxmlformats-officedocument.spreadsheetml.comment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omments5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6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7.xml" ContentType="application/vnd.openxmlformats-officedocument.spreadsheetml.comment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8.xml" ContentType="application/vnd.openxmlformats-officedocument.spreadsheetml.comments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PASAR PARA LOTAIP\"/>
    </mc:Choice>
  </mc:AlternateContent>
  <bookViews>
    <workbookView xWindow="-108" yWindow="-108" windowWidth="23256" windowHeight="12456" firstSheet="8" activeTab="12"/>
  </bookViews>
  <sheets>
    <sheet name="WILSON" sheetId="3" r:id="rId1"/>
    <sheet name="FROILAN" sheetId="15" r:id="rId2"/>
    <sheet name="CARLOS CHIMBO" sheetId="16" r:id="rId3"/>
    <sheet name="EDWIN AJON" sheetId="17" r:id="rId4"/>
    <sheet name="DEISY GREFA" sheetId="18" r:id="rId5"/>
    <sheet name="Hoja6" sheetId="45" r:id="rId6"/>
    <sheet name="JESSICA AROCA" sheetId="19" r:id="rId7"/>
    <sheet name="JOSE LUIS" sheetId="20" r:id="rId8"/>
    <sheet name="ROMEL CASTILLO" sheetId="21" r:id="rId9"/>
    <sheet name="SECRETARIA-AUXILIAR" sheetId="22" r:id="rId10"/>
    <sheet name="ZAMORA RAMON" sheetId="23" r:id="rId11"/>
    <sheet name="XAVIER VASQUEZ" sheetId="24" r:id="rId12"/>
    <sheet name="MICHAEL VAICILLA" sheetId="25" r:id="rId13"/>
    <sheet name="WILMER CHALCO" sheetId="26" r:id="rId14"/>
    <sheet name="JUAN PAPA" sheetId="27" r:id="rId15"/>
    <sheet name="LUIS AJON" sheetId="28" r:id="rId16"/>
    <sheet name="GUARDIA" sheetId="29" r:id="rId17"/>
    <sheet name="HECTOR VELEZ " sheetId="31" r:id="rId18"/>
    <sheet name="ROL DE PAGO DE MAYO" sheetId="32" r:id="rId19"/>
    <sheet name="ROL DE JUNIO 2023" sheetId="33" r:id="rId20"/>
    <sheet name="Hoja3" sheetId="38" r:id="rId21"/>
    <sheet name="rol de julio" sheetId="35" r:id="rId22"/>
    <sheet name="LISTA DE EMPLEADOS" sheetId="36" r:id="rId23"/>
    <sheet name="Hoja1" sheetId="34" r:id="rId24"/>
    <sheet name="deci, 4to23" sheetId="39" r:id="rId25"/>
    <sheet name="ROL DE AGOSTO" sheetId="40" r:id="rId26"/>
    <sheet name="ROL INDIVIDUAL" sheetId="41" r:id="rId27"/>
    <sheet name="ROL SEP" sheetId="42" r:id="rId28"/>
    <sheet name="ROL IND." sheetId="43" r:id="rId29"/>
    <sheet name="ROL OCT23" sheetId="44" r:id="rId30"/>
    <sheet name="ROL IND OCT23" sheetId="46" r:id="rId31"/>
    <sheet name="ROL NOVIEMBR" sheetId="47" r:id="rId32"/>
    <sheet name="ROL IND NOV23" sheetId="48" r:id="rId33"/>
    <sheet name="decimo" sheetId="50" r:id="rId34"/>
    <sheet name="DICIEMBRE" sheetId="51" r:id="rId35"/>
    <sheet name="DIC.IND." sheetId="52" r:id="rId36"/>
    <sheet name="FONDO DE RESERVA" sheetId="53" r:id="rId37"/>
    <sheet name="Hoja7" sheetId="54" r:id="rId38"/>
  </sheets>
  <definedNames>
    <definedName name="_xlnm.Print_Area" localSheetId="2">'CARLOS CHIMBO'!#REF!</definedName>
    <definedName name="_xlnm.Print_Area" localSheetId="4">'DEISY GREFA'!#REF!</definedName>
    <definedName name="_xlnm.Print_Area" localSheetId="3">'EDWIN AJON'!#REF!</definedName>
    <definedName name="_xlnm.Print_Area" localSheetId="1">FROILAN!#REF!</definedName>
    <definedName name="_xlnm.Print_Area" localSheetId="16">GUARDIA!$A$155:$D$202</definedName>
    <definedName name="_xlnm.Print_Area" localSheetId="17">'HECTOR VELEZ '!$A$155:$D$201</definedName>
    <definedName name="_xlnm.Print_Area" localSheetId="6">'JESSICA AROCA'!$A$105:$D$150</definedName>
    <definedName name="_xlnm.Print_Area" localSheetId="7">'JOSE LUIS'!$A$155:$D$202</definedName>
    <definedName name="_xlnm.Print_Area" localSheetId="14">'JUAN PAPA'!$A$155:$D$201</definedName>
    <definedName name="_xlnm.Print_Area" localSheetId="15">'LUIS AJON'!$A$405:$D$451</definedName>
    <definedName name="_xlnm.Print_Area" localSheetId="12">'MICHAEL VAICILLA'!$A$305:$D$351</definedName>
    <definedName name="_xlnm.Print_Area" localSheetId="8">'ROMEL CASTILLO'!$A$155:$D$201</definedName>
    <definedName name="_xlnm.Print_Area" localSheetId="9">'SECRETARIA-AUXILIAR'!$A$155:$D$202</definedName>
    <definedName name="_xlnm.Print_Area" localSheetId="13">'WILMER CHALCO'!$A$160:$D$206</definedName>
    <definedName name="_xlnm.Print_Area" localSheetId="0">WILSON!#REF!</definedName>
    <definedName name="_xlnm.Print_Area" localSheetId="11">'XAVIER VASQUEZ'!$A$155:$D$203</definedName>
    <definedName name="_xlnm.Print_Area" localSheetId="10">'ZAMORA RAMON'!$A$154:$D$202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0" i="47" l="1"/>
  <c r="T63" i="47"/>
  <c r="M63" i="47"/>
  <c r="L63" i="47"/>
  <c r="L40" i="47" s="1"/>
  <c r="H38" i="47"/>
  <c r="L38" i="47"/>
  <c r="O38" i="47"/>
  <c r="Q38" i="47"/>
  <c r="S38" i="47"/>
  <c r="M38" i="47"/>
  <c r="K38" i="47"/>
  <c r="F38" i="47"/>
  <c r="M14" i="47"/>
  <c r="B108" i="46" l="1"/>
  <c r="D18" i="43"/>
  <c r="D16" i="43"/>
  <c r="C12" i="43"/>
  <c r="D50" i="48"/>
  <c r="D49" i="48"/>
  <c r="D48" i="48"/>
  <c r="C44" i="48"/>
  <c r="D48" i="46"/>
  <c r="C44" i="46"/>
  <c r="M38" i="42" l="1"/>
  <c r="T14" i="42"/>
  <c r="H6" i="53" l="1"/>
  <c r="J6" i="53" s="1"/>
  <c r="L6" i="53" s="1"/>
  <c r="E11" i="53"/>
  <c r="H10" i="53"/>
  <c r="H9" i="53"/>
  <c r="H8" i="53"/>
  <c r="H7" i="53"/>
  <c r="J10" i="53" l="1"/>
  <c r="L10" i="53" s="1"/>
  <c r="J9" i="53"/>
  <c r="L9" i="53" s="1"/>
  <c r="J8" i="53"/>
  <c r="L8" i="53" s="1"/>
  <c r="H11" i="53"/>
  <c r="J7" i="53"/>
  <c r="L7" i="53" s="1"/>
  <c r="L11" i="53" l="1"/>
  <c r="Q32" i="51" l="1"/>
  <c r="O32" i="51"/>
  <c r="D604" i="52"/>
  <c r="D603" i="52"/>
  <c r="D602" i="52"/>
  <c r="C597" i="52"/>
  <c r="C605" i="52" s="1"/>
  <c r="B594" i="52"/>
  <c r="B593" i="52"/>
  <c r="B592" i="52"/>
  <c r="B591" i="52"/>
  <c r="C615" i="52" s="1"/>
  <c r="B590" i="52"/>
  <c r="C614" i="52" s="1"/>
  <c r="C573" i="52"/>
  <c r="D574" i="52" s="1"/>
  <c r="D572" i="52"/>
  <c r="D571" i="52"/>
  <c r="D570" i="52"/>
  <c r="D569" i="52"/>
  <c r="D573" i="52" s="1"/>
  <c r="C565" i="52"/>
  <c r="B562" i="52"/>
  <c r="B561" i="52"/>
  <c r="B560" i="52"/>
  <c r="B559" i="52"/>
  <c r="C583" i="52" s="1"/>
  <c r="B558" i="52"/>
  <c r="C582" i="52" s="1"/>
  <c r="C535" i="52"/>
  <c r="D534" i="52"/>
  <c r="D535" i="52" s="1"/>
  <c r="D533" i="52"/>
  <c r="D532" i="52"/>
  <c r="D531" i="52"/>
  <c r="C527" i="52"/>
  <c r="B524" i="52"/>
  <c r="B523" i="52"/>
  <c r="B522" i="52"/>
  <c r="B521" i="52"/>
  <c r="C545" i="52" s="1"/>
  <c r="B520" i="52"/>
  <c r="C544" i="52" s="1"/>
  <c r="C513" i="52"/>
  <c r="C512" i="52"/>
  <c r="D502" i="52"/>
  <c r="D501" i="52"/>
  <c r="D500" i="52"/>
  <c r="D499" i="52"/>
  <c r="D503" i="52" s="1"/>
  <c r="C498" i="52"/>
  <c r="C497" i="52"/>
  <c r="C495" i="52"/>
  <c r="C503" i="52" s="1"/>
  <c r="D504" i="52" s="1"/>
  <c r="B492" i="52"/>
  <c r="B491" i="52"/>
  <c r="B490" i="52"/>
  <c r="B489" i="52"/>
  <c r="B488" i="52"/>
  <c r="D464" i="52"/>
  <c r="D463" i="52"/>
  <c r="D462" i="52"/>
  <c r="D461" i="52"/>
  <c r="D465" i="52" s="1"/>
  <c r="C460" i="52"/>
  <c r="C465" i="52" s="1"/>
  <c r="D466" i="52" s="1"/>
  <c r="C459" i="52"/>
  <c r="C457" i="52"/>
  <c r="B454" i="52"/>
  <c r="B453" i="52"/>
  <c r="B452" i="52"/>
  <c r="B451" i="52"/>
  <c r="C475" i="52" s="1"/>
  <c r="B450" i="52"/>
  <c r="C474" i="52" s="1"/>
  <c r="C442" i="52"/>
  <c r="D433" i="52"/>
  <c r="C433" i="52"/>
  <c r="D434" i="52" s="1"/>
  <c r="D432" i="52"/>
  <c r="D431" i="52"/>
  <c r="D430" i="52"/>
  <c r="D429" i="52"/>
  <c r="C425" i="52"/>
  <c r="B422" i="52"/>
  <c r="B421" i="52"/>
  <c r="B420" i="52"/>
  <c r="B419" i="52"/>
  <c r="C443" i="52" s="1"/>
  <c r="B418" i="52"/>
  <c r="C404" i="52"/>
  <c r="D394" i="52"/>
  <c r="D393" i="52"/>
  <c r="D392" i="52"/>
  <c r="D391" i="52"/>
  <c r="D395" i="52" s="1"/>
  <c r="C387" i="52"/>
  <c r="C395" i="52" s="1"/>
  <c r="D396" i="52" s="1"/>
  <c r="B384" i="52"/>
  <c r="B383" i="52"/>
  <c r="B382" i="52"/>
  <c r="B381" i="52"/>
  <c r="C405" i="52" s="1"/>
  <c r="B380" i="52"/>
  <c r="C372" i="52"/>
  <c r="D362" i="52"/>
  <c r="D361" i="52"/>
  <c r="D360" i="52"/>
  <c r="D359" i="52"/>
  <c r="D363" i="52" s="1"/>
  <c r="C355" i="52"/>
  <c r="C363" i="52" s="1"/>
  <c r="D364" i="52" s="1"/>
  <c r="B352" i="52"/>
  <c r="B351" i="52"/>
  <c r="B350" i="52"/>
  <c r="B349" i="52"/>
  <c r="C373" i="52" s="1"/>
  <c r="B348" i="52"/>
  <c r="C325" i="52"/>
  <c r="D326" i="52" s="1"/>
  <c r="D324" i="52"/>
  <c r="D323" i="52"/>
  <c r="D322" i="52"/>
  <c r="D325" i="52" s="1"/>
  <c r="D321" i="52"/>
  <c r="C317" i="52"/>
  <c r="B314" i="52"/>
  <c r="B313" i="52"/>
  <c r="B312" i="52"/>
  <c r="B311" i="52"/>
  <c r="C335" i="52" s="1"/>
  <c r="B310" i="52"/>
  <c r="C334" i="52" s="1"/>
  <c r="C302" i="52"/>
  <c r="D293" i="52"/>
  <c r="C293" i="52"/>
  <c r="D294" i="52" s="1"/>
  <c r="D292" i="52"/>
  <c r="D291" i="52"/>
  <c r="D290" i="52"/>
  <c r="D289" i="52"/>
  <c r="C285" i="52"/>
  <c r="B282" i="52"/>
  <c r="B281" i="52"/>
  <c r="B280" i="52"/>
  <c r="B279" i="52"/>
  <c r="C303" i="52" s="1"/>
  <c r="B278" i="52"/>
  <c r="C264" i="52"/>
  <c r="D254" i="52"/>
  <c r="D253" i="52"/>
  <c r="D252" i="52"/>
  <c r="D251" i="52"/>
  <c r="D255" i="52" s="1"/>
  <c r="C247" i="52"/>
  <c r="C255" i="52" s="1"/>
  <c r="D256" i="52" s="1"/>
  <c r="B244" i="52"/>
  <c r="B243" i="52"/>
  <c r="B242" i="52"/>
  <c r="B241" i="52"/>
  <c r="C265" i="52" s="1"/>
  <c r="B240" i="52"/>
  <c r="C232" i="52"/>
  <c r="D222" i="52"/>
  <c r="D221" i="52"/>
  <c r="D220" i="52"/>
  <c r="D219" i="52"/>
  <c r="D223" i="52" s="1"/>
  <c r="C215" i="52"/>
  <c r="C223" i="52" s="1"/>
  <c r="D224" i="52" s="1"/>
  <c r="B212" i="52"/>
  <c r="B211" i="52"/>
  <c r="B210" i="52"/>
  <c r="B209" i="52"/>
  <c r="C233" i="52" s="1"/>
  <c r="B208" i="52"/>
  <c r="C185" i="52"/>
  <c r="D184" i="52"/>
  <c r="D183" i="52"/>
  <c r="D182" i="52"/>
  <c r="D185" i="52" s="1"/>
  <c r="D181" i="52"/>
  <c r="C177" i="52"/>
  <c r="B174" i="52"/>
  <c r="B173" i="52"/>
  <c r="B172" i="52"/>
  <c r="B171" i="52"/>
  <c r="C195" i="52" s="1"/>
  <c r="B170" i="52"/>
  <c r="C194" i="52" s="1"/>
  <c r="C162" i="52"/>
  <c r="D153" i="52"/>
  <c r="C153" i="52"/>
  <c r="D154" i="52" s="1"/>
  <c r="D152" i="52"/>
  <c r="D151" i="52"/>
  <c r="D150" i="52"/>
  <c r="D149" i="52"/>
  <c r="C145" i="52"/>
  <c r="B142" i="52"/>
  <c r="B141" i="52"/>
  <c r="B140" i="52"/>
  <c r="B139" i="52"/>
  <c r="C163" i="52" s="1"/>
  <c r="B138" i="52"/>
  <c r="C130" i="52"/>
  <c r="C129" i="52"/>
  <c r="D119" i="52"/>
  <c r="D118" i="52"/>
  <c r="D116" i="52"/>
  <c r="D120" i="52" s="1"/>
  <c r="C112" i="52"/>
  <c r="C120" i="52" s="1"/>
  <c r="B109" i="52"/>
  <c r="B108" i="52"/>
  <c r="B107" i="52"/>
  <c r="B105" i="52"/>
  <c r="C98" i="52"/>
  <c r="C97" i="52"/>
  <c r="D87" i="52"/>
  <c r="D86" i="52"/>
  <c r="D85" i="52"/>
  <c r="D84" i="52"/>
  <c r="D88" i="52" s="1"/>
  <c r="C80" i="52"/>
  <c r="C88" i="52" s="1"/>
  <c r="D89" i="52" s="1"/>
  <c r="B77" i="52"/>
  <c r="B76" i="52"/>
  <c r="B75" i="52"/>
  <c r="B74" i="52"/>
  <c r="B73" i="52"/>
  <c r="D48" i="52"/>
  <c r="D52" i="52" s="1"/>
  <c r="C44" i="52"/>
  <c r="C52" i="52" s="1"/>
  <c r="B41" i="52"/>
  <c r="B39" i="52"/>
  <c r="B38" i="52"/>
  <c r="C62" i="52" s="1"/>
  <c r="B37" i="52"/>
  <c r="C61" i="52" s="1"/>
  <c r="C29" i="52"/>
  <c r="C20" i="52"/>
  <c r="D19" i="52"/>
  <c r="D18" i="52"/>
  <c r="D20" i="52" s="1"/>
  <c r="D17" i="52"/>
  <c r="D16" i="52"/>
  <c r="C12" i="52"/>
  <c r="B9" i="52"/>
  <c r="B8" i="52"/>
  <c r="B7" i="52"/>
  <c r="B6" i="52"/>
  <c r="C30" i="52" s="1"/>
  <c r="B5" i="52"/>
  <c r="S63" i="51"/>
  <c r="Q63" i="51"/>
  <c r="P63" i="51"/>
  <c r="O63" i="51"/>
  <c r="N63" i="51"/>
  <c r="J63" i="51"/>
  <c r="M62" i="51"/>
  <c r="H62" i="51"/>
  <c r="L62" i="51" s="1"/>
  <c r="R62" i="51" s="1"/>
  <c r="M61" i="51"/>
  <c r="M63" i="51" s="1"/>
  <c r="L61" i="51"/>
  <c r="R61" i="51" s="1"/>
  <c r="J61" i="51"/>
  <c r="H61" i="51"/>
  <c r="M60" i="51"/>
  <c r="J60" i="51"/>
  <c r="H60" i="51"/>
  <c r="H63" i="51" s="1"/>
  <c r="C41" i="51"/>
  <c r="Q38" i="51"/>
  <c r="P38" i="51"/>
  <c r="O38" i="51"/>
  <c r="J38" i="51"/>
  <c r="I38" i="51"/>
  <c r="G38" i="51"/>
  <c r="F38" i="51"/>
  <c r="M37" i="51"/>
  <c r="L37" i="51"/>
  <c r="R37" i="51" s="1"/>
  <c r="H37" i="51"/>
  <c r="K37" i="51" s="1"/>
  <c r="T37" i="51" s="1"/>
  <c r="R36" i="51"/>
  <c r="M36" i="51"/>
  <c r="L36" i="51"/>
  <c r="H36" i="51"/>
  <c r="K36" i="51" s="1"/>
  <c r="T36" i="51" s="1"/>
  <c r="S35" i="51"/>
  <c r="M35" i="51"/>
  <c r="L35" i="51"/>
  <c r="R35" i="51" s="1"/>
  <c r="H35" i="51"/>
  <c r="K35" i="51" s="1"/>
  <c r="T35" i="51" s="1"/>
  <c r="M34" i="51"/>
  <c r="L34" i="51"/>
  <c r="R34" i="51" s="1"/>
  <c r="H34" i="51"/>
  <c r="K34" i="51" s="1"/>
  <c r="T34" i="51" s="1"/>
  <c r="M33" i="51"/>
  <c r="L33" i="51"/>
  <c r="R33" i="51" s="1"/>
  <c r="H33" i="51"/>
  <c r="K33" i="51" s="1"/>
  <c r="T33" i="51" s="1"/>
  <c r="S32" i="51"/>
  <c r="M32" i="51"/>
  <c r="L32" i="51"/>
  <c r="R32" i="51" s="1"/>
  <c r="H32" i="51"/>
  <c r="K32" i="51" s="1"/>
  <c r="T32" i="51" s="1"/>
  <c r="S31" i="51"/>
  <c r="S38" i="51" s="1"/>
  <c r="M31" i="51"/>
  <c r="L31" i="51"/>
  <c r="R31" i="51" s="1"/>
  <c r="K31" i="51"/>
  <c r="T31" i="51" s="1"/>
  <c r="H31" i="51"/>
  <c r="S30" i="51"/>
  <c r="M30" i="51"/>
  <c r="L30" i="51"/>
  <c r="R30" i="51" s="1"/>
  <c r="H30" i="51"/>
  <c r="K30" i="51" s="1"/>
  <c r="T30" i="51" s="1"/>
  <c r="M29" i="51"/>
  <c r="M38" i="51" s="1"/>
  <c r="L29" i="51"/>
  <c r="L38" i="51" s="1"/>
  <c r="H29" i="51"/>
  <c r="K29" i="51" s="1"/>
  <c r="Q14" i="51"/>
  <c r="P14" i="51"/>
  <c r="O14" i="51"/>
  <c r="N14" i="51"/>
  <c r="J14" i="51"/>
  <c r="I14" i="51"/>
  <c r="G14" i="51"/>
  <c r="F14" i="51"/>
  <c r="H13" i="51"/>
  <c r="M13" i="51" s="1"/>
  <c r="S12" i="51"/>
  <c r="H12" i="51"/>
  <c r="L15" i="51" s="1"/>
  <c r="S11" i="51"/>
  <c r="M11" i="51"/>
  <c r="L11" i="51"/>
  <c r="R11" i="51" s="1"/>
  <c r="H11" i="51"/>
  <c r="K11" i="51" s="1"/>
  <c r="T11" i="51" s="1"/>
  <c r="S10" i="51"/>
  <c r="H10" i="51"/>
  <c r="M10" i="51" s="1"/>
  <c r="S9" i="51"/>
  <c r="H9" i="51"/>
  <c r="M9" i="51" s="1"/>
  <c r="S8" i="51"/>
  <c r="S14" i="51" s="1"/>
  <c r="H8" i="51"/>
  <c r="H14" i="51" s="1"/>
  <c r="Y48" i="44"/>
  <c r="L38" i="50"/>
  <c r="L30" i="50"/>
  <c r="L29" i="50"/>
  <c r="D53" i="52" l="1"/>
  <c r="D536" i="52"/>
  <c r="D186" i="52"/>
  <c r="D21" i="52"/>
  <c r="D121" i="52"/>
  <c r="K38" i="51"/>
  <c r="T29" i="51"/>
  <c r="T38" i="51" s="1"/>
  <c r="L10" i="51"/>
  <c r="R10" i="51" s="1"/>
  <c r="K13" i="51"/>
  <c r="T13" i="51" s="1"/>
  <c r="I60" i="51"/>
  <c r="K8" i="51"/>
  <c r="L13" i="51"/>
  <c r="R13" i="51" s="1"/>
  <c r="R29" i="51"/>
  <c r="R38" i="51" s="1"/>
  <c r="L8" i="51"/>
  <c r="K60" i="51"/>
  <c r="M8" i="51"/>
  <c r="M14" i="51" s="1"/>
  <c r="K10" i="51"/>
  <c r="L60" i="51"/>
  <c r="K62" i="51"/>
  <c r="T62" i="51" s="1"/>
  <c r="K12" i="51"/>
  <c r="L12" i="51"/>
  <c r="R12" i="51" s="1"/>
  <c r="M12" i="51"/>
  <c r="K9" i="51"/>
  <c r="I61" i="51"/>
  <c r="K61" i="51" s="1"/>
  <c r="T61" i="51" s="1"/>
  <c r="L9" i="51"/>
  <c r="R9" i="51" s="1"/>
  <c r="H38" i="51"/>
  <c r="L31" i="50"/>
  <c r="K38" i="50"/>
  <c r="K30" i="50"/>
  <c r="K29" i="50"/>
  <c r="H38" i="50"/>
  <c r="J38" i="50" s="1"/>
  <c r="L40" i="50" s="1"/>
  <c r="L22" i="50"/>
  <c r="H30" i="50"/>
  <c r="J30" i="50"/>
  <c r="H23" i="50"/>
  <c r="J23" i="50"/>
  <c r="L23" i="50" s="1"/>
  <c r="H24" i="50"/>
  <c r="J24" i="50" s="1"/>
  <c r="L24" i="50" s="1"/>
  <c r="H25" i="50"/>
  <c r="J25" i="50"/>
  <c r="L25" i="50" s="1"/>
  <c r="H26" i="50"/>
  <c r="J26" i="50"/>
  <c r="L26" i="50" s="1"/>
  <c r="H27" i="50"/>
  <c r="J27" i="50"/>
  <c r="L27" i="50" s="1"/>
  <c r="H28" i="50"/>
  <c r="J28" i="50"/>
  <c r="L28" i="50" s="1"/>
  <c r="H29" i="50"/>
  <c r="J29" i="50"/>
  <c r="H22" i="50"/>
  <c r="J22" i="50" s="1"/>
  <c r="J11" i="50"/>
  <c r="L11" i="50" s="1"/>
  <c r="J12" i="50"/>
  <c r="L12" i="50" s="1"/>
  <c r="J13" i="50"/>
  <c r="L13" i="50" s="1"/>
  <c r="J14" i="50"/>
  <c r="L14" i="50" s="1"/>
  <c r="J15" i="50"/>
  <c r="L15" i="50" s="1"/>
  <c r="H11" i="50"/>
  <c r="H12" i="50"/>
  <c r="H13" i="50"/>
  <c r="H14" i="50"/>
  <c r="H15" i="50"/>
  <c r="H10" i="50"/>
  <c r="J10" i="50" s="1"/>
  <c r="L10" i="50" s="1"/>
  <c r="I9" i="32"/>
  <c r="I60" i="47"/>
  <c r="E40" i="50"/>
  <c r="E31" i="50"/>
  <c r="E16" i="50"/>
  <c r="T12" i="51" l="1"/>
  <c r="K63" i="51"/>
  <c r="R8" i="51"/>
  <c r="R14" i="51" s="1"/>
  <c r="L14" i="51"/>
  <c r="T9" i="51"/>
  <c r="K14" i="51"/>
  <c r="T8" i="51"/>
  <c r="T14" i="51" s="1"/>
  <c r="I63" i="51"/>
  <c r="R60" i="51"/>
  <c r="R63" i="51" s="1"/>
  <c r="L63" i="51"/>
  <c r="T10" i="51"/>
  <c r="H31" i="50"/>
  <c r="K16" i="50"/>
  <c r="H16" i="50"/>
  <c r="T60" i="51" l="1"/>
  <c r="L16" i="50"/>
  <c r="N16" i="50" s="1"/>
  <c r="T63" i="51" l="1"/>
  <c r="U41" i="51" s="1"/>
  <c r="T65" i="51"/>
  <c r="U40" i="42"/>
  <c r="S42" i="42"/>
  <c r="M14" i="42"/>
  <c r="H37" i="42"/>
  <c r="M37" i="42" s="1"/>
  <c r="M49" i="42" s="1"/>
  <c r="L14" i="42"/>
  <c r="F38" i="42"/>
  <c r="M63" i="42"/>
  <c r="N63" i="42"/>
  <c r="O63" i="42"/>
  <c r="P63" i="42"/>
  <c r="Q63" i="42"/>
  <c r="R63" i="42"/>
  <c r="S63" i="42"/>
  <c r="T63" i="42"/>
  <c r="L63" i="42"/>
  <c r="N38" i="42"/>
  <c r="O38" i="42"/>
  <c r="P38" i="42"/>
  <c r="Q38" i="42"/>
  <c r="S38" i="42"/>
  <c r="D604" i="48"/>
  <c r="D603" i="48"/>
  <c r="D602" i="48"/>
  <c r="C597" i="48"/>
  <c r="C605" i="48" s="1"/>
  <c r="B594" i="48"/>
  <c r="B593" i="48"/>
  <c r="B592" i="48"/>
  <c r="B591" i="48"/>
  <c r="C615" i="48" s="1"/>
  <c r="B590" i="48"/>
  <c r="C614" i="48" s="1"/>
  <c r="C573" i="48"/>
  <c r="D574" i="48" s="1"/>
  <c r="D572" i="48"/>
  <c r="D571" i="48"/>
  <c r="D570" i="48"/>
  <c r="D569" i="48"/>
  <c r="D573" i="48" s="1"/>
  <c r="C565" i="48"/>
  <c r="B562" i="48"/>
  <c r="B561" i="48"/>
  <c r="B560" i="48"/>
  <c r="B559" i="48"/>
  <c r="C583" i="48" s="1"/>
  <c r="B558" i="48"/>
  <c r="C582" i="48" s="1"/>
  <c r="C535" i="48"/>
  <c r="D534" i="48"/>
  <c r="D535" i="48" s="1"/>
  <c r="D533" i="48"/>
  <c r="D532" i="48"/>
  <c r="D531" i="48"/>
  <c r="C527" i="48"/>
  <c r="B524" i="48"/>
  <c r="B523" i="48"/>
  <c r="B522" i="48"/>
  <c r="B521" i="48"/>
  <c r="C545" i="48" s="1"/>
  <c r="B520" i="48"/>
  <c r="C544" i="48" s="1"/>
  <c r="C513" i="48"/>
  <c r="C512" i="48"/>
  <c r="D502" i="48"/>
  <c r="D501" i="48"/>
  <c r="D500" i="48"/>
  <c r="D499" i="48"/>
  <c r="D503" i="48" s="1"/>
  <c r="C498" i="48"/>
  <c r="C497" i="48"/>
  <c r="C495" i="48"/>
  <c r="C503" i="48" s="1"/>
  <c r="D504" i="48" s="1"/>
  <c r="B492" i="48"/>
  <c r="B491" i="48"/>
  <c r="B490" i="48"/>
  <c r="B489" i="48"/>
  <c r="B488" i="48"/>
  <c r="D464" i="48"/>
  <c r="D463" i="48"/>
  <c r="D462" i="48"/>
  <c r="D461" i="48"/>
  <c r="D465" i="48" s="1"/>
  <c r="C460" i="48"/>
  <c r="C465" i="48" s="1"/>
  <c r="D466" i="48" s="1"/>
  <c r="C459" i="48"/>
  <c r="C457" i="48"/>
  <c r="B454" i="48"/>
  <c r="B453" i="48"/>
  <c r="B452" i="48"/>
  <c r="B451" i="48"/>
  <c r="C475" i="48" s="1"/>
  <c r="B450" i="48"/>
  <c r="C474" i="48" s="1"/>
  <c r="C442" i="48"/>
  <c r="D433" i="48"/>
  <c r="C433" i="48"/>
  <c r="D434" i="48" s="1"/>
  <c r="D432" i="48"/>
  <c r="D431" i="48"/>
  <c r="D430" i="48"/>
  <c r="D429" i="48"/>
  <c r="C425" i="48"/>
  <c r="B422" i="48"/>
  <c r="B421" i="48"/>
  <c r="B420" i="48"/>
  <c r="B419" i="48"/>
  <c r="C443" i="48" s="1"/>
  <c r="B418" i="48"/>
  <c r="C404" i="48"/>
  <c r="D394" i="48"/>
  <c r="D393" i="48"/>
  <c r="D392" i="48"/>
  <c r="D391" i="48"/>
  <c r="D395" i="48" s="1"/>
  <c r="C387" i="48"/>
  <c r="C395" i="48" s="1"/>
  <c r="D396" i="48" s="1"/>
  <c r="B384" i="48"/>
  <c r="B383" i="48"/>
  <c r="B382" i="48"/>
  <c r="B381" i="48"/>
  <c r="C405" i="48" s="1"/>
  <c r="B380" i="48"/>
  <c r="C372" i="48"/>
  <c r="D362" i="48"/>
  <c r="D361" i="48"/>
  <c r="D360" i="48"/>
  <c r="D359" i="48"/>
  <c r="D363" i="48" s="1"/>
  <c r="C355" i="48"/>
  <c r="C363" i="48" s="1"/>
  <c r="D364" i="48" s="1"/>
  <c r="B352" i="48"/>
  <c r="B351" i="48"/>
  <c r="B350" i="48"/>
  <c r="B349" i="48"/>
  <c r="C373" i="48" s="1"/>
  <c r="B348" i="48"/>
  <c r="C325" i="48"/>
  <c r="D326" i="48" s="1"/>
  <c r="D324" i="48"/>
  <c r="D323" i="48"/>
  <c r="D322" i="48"/>
  <c r="D325" i="48" s="1"/>
  <c r="D321" i="48"/>
  <c r="C317" i="48"/>
  <c r="B314" i="48"/>
  <c r="B313" i="48"/>
  <c r="B312" i="48"/>
  <c r="B311" i="48"/>
  <c r="C335" i="48" s="1"/>
  <c r="B310" i="48"/>
  <c r="C334" i="48" s="1"/>
  <c r="C302" i="48"/>
  <c r="D293" i="48"/>
  <c r="C293" i="48"/>
  <c r="D294" i="48" s="1"/>
  <c r="D292" i="48"/>
  <c r="D291" i="48"/>
  <c r="D290" i="48"/>
  <c r="D289" i="48"/>
  <c r="C285" i="48"/>
  <c r="B282" i="48"/>
  <c r="B281" i="48"/>
  <c r="B280" i="48"/>
  <c r="B279" i="48"/>
  <c r="C303" i="48" s="1"/>
  <c r="B278" i="48"/>
  <c r="C264" i="48"/>
  <c r="D254" i="48"/>
  <c r="D253" i="48"/>
  <c r="D252" i="48"/>
  <c r="D251" i="48"/>
  <c r="D255" i="48" s="1"/>
  <c r="C247" i="48"/>
  <c r="C255" i="48" s="1"/>
  <c r="D256" i="48" s="1"/>
  <c r="B244" i="48"/>
  <c r="B243" i="48"/>
  <c r="B242" i="48"/>
  <c r="B241" i="48"/>
  <c r="C265" i="48" s="1"/>
  <c r="B240" i="48"/>
  <c r="C232" i="48"/>
  <c r="D222" i="48"/>
  <c r="D221" i="48"/>
  <c r="D220" i="48"/>
  <c r="D219" i="48"/>
  <c r="D223" i="48" s="1"/>
  <c r="C215" i="48"/>
  <c r="C223" i="48" s="1"/>
  <c r="D224" i="48" s="1"/>
  <c r="B212" i="48"/>
  <c r="B211" i="48"/>
  <c r="B210" i="48"/>
  <c r="B209" i="48"/>
  <c r="C233" i="48" s="1"/>
  <c r="B208" i="48"/>
  <c r="C185" i="48"/>
  <c r="D184" i="48"/>
  <c r="D183" i="48"/>
  <c r="D182" i="48"/>
  <c r="D185" i="48" s="1"/>
  <c r="D181" i="48"/>
  <c r="C177" i="48"/>
  <c r="B174" i="48"/>
  <c r="B173" i="48"/>
  <c r="B172" i="48"/>
  <c r="B171" i="48"/>
  <c r="C195" i="48" s="1"/>
  <c r="B170" i="48"/>
  <c r="C194" i="48" s="1"/>
  <c r="C162" i="48"/>
  <c r="D153" i="48"/>
  <c r="C153" i="48"/>
  <c r="D154" i="48" s="1"/>
  <c r="D152" i="48"/>
  <c r="D151" i="48"/>
  <c r="D150" i="48"/>
  <c r="D149" i="48"/>
  <c r="C145" i="48"/>
  <c r="B142" i="48"/>
  <c r="B141" i="48"/>
  <c r="B140" i="48"/>
  <c r="B139" i="48"/>
  <c r="C163" i="48" s="1"/>
  <c r="B138" i="48"/>
  <c r="C130" i="48"/>
  <c r="C129" i="48"/>
  <c r="D119" i="48"/>
  <c r="D118" i="48"/>
  <c r="D116" i="48"/>
  <c r="D120" i="48" s="1"/>
  <c r="C112" i="48"/>
  <c r="C120" i="48" s="1"/>
  <c r="B109" i="48"/>
  <c r="B108" i="48"/>
  <c r="B107" i="48"/>
  <c r="B105" i="48"/>
  <c r="C98" i="48"/>
  <c r="C97" i="48"/>
  <c r="D87" i="48"/>
  <c r="D86" i="48"/>
  <c r="D85" i="48"/>
  <c r="D84" i="48"/>
  <c r="D88" i="48" s="1"/>
  <c r="C80" i="48"/>
  <c r="C88" i="48" s="1"/>
  <c r="D89" i="48" s="1"/>
  <c r="B77" i="48"/>
  <c r="B76" i="48"/>
  <c r="B75" i="48"/>
  <c r="B74" i="48"/>
  <c r="B73" i="48"/>
  <c r="D52" i="48"/>
  <c r="C52" i="48"/>
  <c r="B41" i="48"/>
  <c r="B39" i="48"/>
  <c r="B38" i="48"/>
  <c r="C62" i="48" s="1"/>
  <c r="B37" i="48"/>
  <c r="C61" i="48" s="1"/>
  <c r="C29" i="48"/>
  <c r="C20" i="48"/>
  <c r="D19" i="48"/>
  <c r="D18" i="48"/>
  <c r="D20" i="48" s="1"/>
  <c r="D17" i="48"/>
  <c r="D16" i="48"/>
  <c r="C12" i="48"/>
  <c r="B9" i="48"/>
  <c r="B8" i="48"/>
  <c r="B7" i="48"/>
  <c r="B6" i="48"/>
  <c r="C30" i="48" s="1"/>
  <c r="B5" i="48"/>
  <c r="S63" i="47"/>
  <c r="Q63" i="47"/>
  <c r="P63" i="47"/>
  <c r="O63" i="47"/>
  <c r="N63" i="47"/>
  <c r="I63" i="47"/>
  <c r="M62" i="47"/>
  <c r="H62" i="47"/>
  <c r="H63" i="47" s="1"/>
  <c r="M61" i="47"/>
  <c r="K61" i="47"/>
  <c r="T61" i="47" s="1"/>
  <c r="J61" i="47"/>
  <c r="I61" i="47"/>
  <c r="H61" i="47"/>
  <c r="L61" i="47" s="1"/>
  <c r="R61" i="47" s="1"/>
  <c r="M60" i="47"/>
  <c r="L60" i="47"/>
  <c r="R60" i="47" s="1"/>
  <c r="J60" i="47"/>
  <c r="J63" i="47" s="1"/>
  <c r="K60" i="47"/>
  <c r="H60" i="47"/>
  <c r="C41" i="47"/>
  <c r="P38" i="47"/>
  <c r="J38" i="47"/>
  <c r="I38" i="47"/>
  <c r="G38" i="47"/>
  <c r="R37" i="47"/>
  <c r="M37" i="47"/>
  <c r="L37" i="47"/>
  <c r="H37" i="47"/>
  <c r="K37" i="47" s="1"/>
  <c r="T37" i="47" s="1"/>
  <c r="M36" i="47"/>
  <c r="L36" i="47"/>
  <c r="R36" i="47" s="1"/>
  <c r="H36" i="47"/>
  <c r="K36" i="47" s="1"/>
  <c r="T36" i="47" s="1"/>
  <c r="S35" i="47"/>
  <c r="M35" i="47"/>
  <c r="L35" i="47"/>
  <c r="R35" i="47" s="1"/>
  <c r="H35" i="47"/>
  <c r="K35" i="47" s="1"/>
  <c r="T35" i="47" s="1"/>
  <c r="M34" i="47"/>
  <c r="L34" i="47"/>
  <c r="R34" i="47" s="1"/>
  <c r="H34" i="47"/>
  <c r="K34" i="47" s="1"/>
  <c r="M33" i="47"/>
  <c r="L33" i="47"/>
  <c r="R33" i="47" s="1"/>
  <c r="H33" i="47"/>
  <c r="K33" i="47" s="1"/>
  <c r="T33" i="47" s="1"/>
  <c r="S32" i="47"/>
  <c r="R32" i="47"/>
  <c r="M32" i="47"/>
  <c r="L32" i="47"/>
  <c r="H32" i="47"/>
  <c r="K32" i="47" s="1"/>
  <c r="T32" i="47" s="1"/>
  <c r="S31" i="47"/>
  <c r="M31" i="47"/>
  <c r="L31" i="47"/>
  <c r="R31" i="47" s="1"/>
  <c r="H31" i="47"/>
  <c r="K31" i="47" s="1"/>
  <c r="S30" i="47"/>
  <c r="M30" i="47"/>
  <c r="L30" i="47"/>
  <c r="R30" i="47" s="1"/>
  <c r="H30" i="47"/>
  <c r="K30" i="47" s="1"/>
  <c r="T30" i="47" s="1"/>
  <c r="R29" i="47"/>
  <c r="M29" i="47"/>
  <c r="L29" i="47"/>
  <c r="H29" i="47"/>
  <c r="Q14" i="47"/>
  <c r="P14" i="47"/>
  <c r="O14" i="47"/>
  <c r="N14" i="47"/>
  <c r="J14" i="47"/>
  <c r="I14" i="47"/>
  <c r="G14" i="47"/>
  <c r="F14" i="47"/>
  <c r="H13" i="47"/>
  <c r="M13" i="47" s="1"/>
  <c r="S12" i="47"/>
  <c r="M12" i="47"/>
  <c r="H12" i="47"/>
  <c r="L12" i="47" s="1"/>
  <c r="R12" i="47" s="1"/>
  <c r="S11" i="47"/>
  <c r="L11" i="47"/>
  <c r="R11" i="47" s="1"/>
  <c r="H11" i="47"/>
  <c r="K11" i="47" s="1"/>
  <c r="T11" i="47" s="1"/>
  <c r="S10" i="47"/>
  <c r="H10" i="47"/>
  <c r="M10" i="47" s="1"/>
  <c r="S9" i="47"/>
  <c r="H9" i="47"/>
  <c r="M9" i="47" s="1"/>
  <c r="S8" i="47"/>
  <c r="S14" i="47" s="1"/>
  <c r="H8" i="47"/>
  <c r="H14" i="47" s="1"/>
  <c r="T31" i="47" l="1"/>
  <c r="H38" i="42"/>
  <c r="L37" i="42"/>
  <c r="D53" i="48"/>
  <c r="T34" i="47"/>
  <c r="R38" i="47"/>
  <c r="D536" i="48"/>
  <c r="D186" i="48"/>
  <c r="D21" i="48"/>
  <c r="D121" i="48"/>
  <c r="T60" i="47"/>
  <c r="M11" i="47"/>
  <c r="K13" i="47"/>
  <c r="K29" i="47"/>
  <c r="K8" i="47"/>
  <c r="L13" i="47"/>
  <c r="R13" i="47" s="1"/>
  <c r="K62" i="47"/>
  <c r="T62" i="47" s="1"/>
  <c r="M8" i="47"/>
  <c r="K10" i="47"/>
  <c r="T10" i="47" s="1"/>
  <c r="L10" i="47"/>
  <c r="R10" i="47" s="1"/>
  <c r="K12" i="47"/>
  <c r="T12" i="47" s="1"/>
  <c r="L62" i="47"/>
  <c r="R62" i="47" s="1"/>
  <c r="R63" i="47" s="1"/>
  <c r="L8" i="47"/>
  <c r="K9" i="47"/>
  <c r="L9" i="47"/>
  <c r="R9" i="47" s="1"/>
  <c r="U65" i="40"/>
  <c r="R60" i="35"/>
  <c r="T38" i="47" l="1"/>
  <c r="D601" i="48"/>
  <c r="D605" i="48" s="1"/>
  <c r="D606" i="48" s="1"/>
  <c r="D601" i="52"/>
  <c r="D605" i="52" s="1"/>
  <c r="D606" i="52" s="1"/>
  <c r="L38" i="42"/>
  <c r="L49" i="42" s="1"/>
  <c r="T9" i="47"/>
  <c r="K63" i="47"/>
  <c r="T29" i="47"/>
  <c r="K14" i="47"/>
  <c r="T13" i="47"/>
  <c r="R8" i="47"/>
  <c r="R14" i="47" s="1"/>
  <c r="L14" i="47"/>
  <c r="T62" i="40"/>
  <c r="X64" i="40"/>
  <c r="H62" i="40"/>
  <c r="I62" i="40"/>
  <c r="J62" i="40"/>
  <c r="K62" i="40"/>
  <c r="L62" i="40"/>
  <c r="M62" i="40"/>
  <c r="N62" i="40"/>
  <c r="R62" i="40"/>
  <c r="T59" i="40"/>
  <c r="T8" i="47" l="1"/>
  <c r="T14" i="47" s="1"/>
  <c r="U30" i="40"/>
  <c r="U31" i="40"/>
  <c r="U32" i="40"/>
  <c r="U33" i="40"/>
  <c r="U34" i="40"/>
  <c r="U35" i="40"/>
  <c r="U29" i="40"/>
  <c r="U30" i="35"/>
  <c r="U31" i="35"/>
  <c r="U32" i="35"/>
  <c r="U33" i="35"/>
  <c r="U34" i="35"/>
  <c r="U35" i="35"/>
  <c r="U29" i="35"/>
  <c r="M69" i="35"/>
  <c r="H58" i="35"/>
  <c r="L58" i="35" s="1"/>
  <c r="H69" i="35"/>
  <c r="I69" i="35" s="1"/>
  <c r="H9" i="32"/>
  <c r="J69" i="35"/>
  <c r="H12" i="32"/>
  <c r="B40" i="46"/>
  <c r="B8" i="46"/>
  <c r="S9" i="44"/>
  <c r="T65" i="47" l="1"/>
  <c r="L69" i="35"/>
  <c r="R69" i="35" s="1"/>
  <c r="K69" i="35"/>
  <c r="T69" i="35" s="1"/>
  <c r="C614" i="46" l="1"/>
  <c r="D604" i="46"/>
  <c r="D603" i="46"/>
  <c r="D602" i="46"/>
  <c r="D601" i="46"/>
  <c r="D605" i="46" s="1"/>
  <c r="C597" i="46"/>
  <c r="C605" i="46" s="1"/>
  <c r="B594" i="46"/>
  <c r="B593" i="46"/>
  <c r="B592" i="46"/>
  <c r="B591" i="46"/>
  <c r="C615" i="46" s="1"/>
  <c r="B590" i="46"/>
  <c r="C573" i="46"/>
  <c r="D572" i="46"/>
  <c r="D571" i="46"/>
  <c r="D570" i="46"/>
  <c r="D569" i="46"/>
  <c r="D573" i="46" s="1"/>
  <c r="D574" i="46" s="1"/>
  <c r="C565" i="46"/>
  <c r="B562" i="46"/>
  <c r="B561" i="46"/>
  <c r="B560" i="46"/>
  <c r="B559" i="46"/>
  <c r="C583" i="46" s="1"/>
  <c r="B558" i="46"/>
  <c r="C582" i="46" s="1"/>
  <c r="C535" i="46"/>
  <c r="D534" i="46"/>
  <c r="D535" i="46" s="1"/>
  <c r="D533" i="46"/>
  <c r="D532" i="46"/>
  <c r="D531" i="46"/>
  <c r="C527" i="46"/>
  <c r="B524" i="46"/>
  <c r="B523" i="46"/>
  <c r="B522" i="46"/>
  <c r="B521" i="46"/>
  <c r="C545" i="46" s="1"/>
  <c r="B520" i="46"/>
  <c r="C544" i="46" s="1"/>
  <c r="C513" i="46"/>
  <c r="C512" i="46"/>
  <c r="D502" i="46"/>
  <c r="D501" i="46"/>
  <c r="D500" i="46"/>
  <c r="D499" i="46"/>
  <c r="D503" i="46" s="1"/>
  <c r="C498" i="46"/>
  <c r="C497" i="46"/>
  <c r="C495" i="46"/>
  <c r="C503" i="46" s="1"/>
  <c r="D504" i="46" s="1"/>
  <c r="B492" i="46"/>
  <c r="B491" i="46"/>
  <c r="B490" i="46"/>
  <c r="B489" i="46"/>
  <c r="B488" i="46"/>
  <c r="D464" i="46"/>
  <c r="D463" i="46"/>
  <c r="D462" i="46"/>
  <c r="D461" i="46"/>
  <c r="D465" i="46" s="1"/>
  <c r="C460" i="46"/>
  <c r="C465" i="46" s="1"/>
  <c r="D466" i="46" s="1"/>
  <c r="C459" i="46"/>
  <c r="C457" i="46"/>
  <c r="B454" i="46"/>
  <c r="B453" i="46"/>
  <c r="B452" i="46"/>
  <c r="B451" i="46"/>
  <c r="C475" i="46" s="1"/>
  <c r="B450" i="46"/>
  <c r="C474" i="46" s="1"/>
  <c r="C442" i="46"/>
  <c r="D433" i="46"/>
  <c r="C433" i="46"/>
  <c r="D434" i="46" s="1"/>
  <c r="D432" i="46"/>
  <c r="D431" i="46"/>
  <c r="D430" i="46"/>
  <c r="D429" i="46"/>
  <c r="C425" i="46"/>
  <c r="B422" i="46"/>
  <c r="B421" i="46"/>
  <c r="B420" i="46"/>
  <c r="B419" i="46"/>
  <c r="C443" i="46" s="1"/>
  <c r="B418" i="46"/>
  <c r="C404" i="46"/>
  <c r="D394" i="46"/>
  <c r="D393" i="46"/>
  <c r="D392" i="46"/>
  <c r="D391" i="46"/>
  <c r="D395" i="46" s="1"/>
  <c r="C387" i="46"/>
  <c r="C395" i="46" s="1"/>
  <c r="D396" i="46" s="1"/>
  <c r="B384" i="46"/>
  <c r="B383" i="46"/>
  <c r="B382" i="46"/>
  <c r="B381" i="46"/>
  <c r="C405" i="46" s="1"/>
  <c r="B380" i="46"/>
  <c r="C373" i="46"/>
  <c r="C372" i="46"/>
  <c r="D362" i="46"/>
  <c r="D361" i="46"/>
  <c r="D360" i="46"/>
  <c r="D359" i="46"/>
  <c r="D363" i="46" s="1"/>
  <c r="C355" i="46"/>
  <c r="C363" i="46" s="1"/>
  <c r="D364" i="46" s="1"/>
  <c r="B352" i="46"/>
  <c r="B351" i="46"/>
  <c r="B350" i="46"/>
  <c r="B349" i="46"/>
  <c r="B348" i="46"/>
  <c r="C325" i="46"/>
  <c r="D326" i="46" s="1"/>
  <c r="D324" i="46"/>
  <c r="D323" i="46"/>
  <c r="D322" i="46"/>
  <c r="D325" i="46" s="1"/>
  <c r="D321" i="46"/>
  <c r="C317" i="46"/>
  <c r="B314" i="46"/>
  <c r="B313" i="46"/>
  <c r="B312" i="46"/>
  <c r="B311" i="46"/>
  <c r="C335" i="46" s="1"/>
  <c r="B310" i="46"/>
  <c r="C334" i="46" s="1"/>
  <c r="C302" i="46"/>
  <c r="D293" i="46"/>
  <c r="C293" i="46"/>
  <c r="D294" i="46" s="1"/>
  <c r="D292" i="46"/>
  <c r="D291" i="46"/>
  <c r="D290" i="46"/>
  <c r="D289" i="46"/>
  <c r="C285" i="46"/>
  <c r="B282" i="46"/>
  <c r="B281" i="46"/>
  <c r="B280" i="46"/>
  <c r="B279" i="46"/>
  <c r="C303" i="46" s="1"/>
  <c r="B278" i="46"/>
  <c r="C264" i="46"/>
  <c r="D254" i="46"/>
  <c r="D253" i="46"/>
  <c r="D252" i="46"/>
  <c r="D251" i="46"/>
  <c r="D255" i="46" s="1"/>
  <c r="C247" i="46"/>
  <c r="C255" i="46" s="1"/>
  <c r="D256" i="46" s="1"/>
  <c r="B244" i="46"/>
  <c r="B243" i="46"/>
  <c r="B242" i="46"/>
  <c r="B241" i="46"/>
  <c r="C265" i="46" s="1"/>
  <c r="B240" i="46"/>
  <c r="C233" i="46"/>
  <c r="C232" i="46"/>
  <c r="D222" i="46"/>
  <c r="D221" i="46"/>
  <c r="D220" i="46"/>
  <c r="D219" i="46"/>
  <c r="D223" i="46" s="1"/>
  <c r="C215" i="46"/>
  <c r="C223" i="46" s="1"/>
  <c r="D224" i="46" s="1"/>
  <c r="B212" i="46"/>
  <c r="B211" i="46"/>
  <c r="B210" i="46"/>
  <c r="B209" i="46"/>
  <c r="B208" i="46"/>
  <c r="C185" i="46"/>
  <c r="D184" i="46"/>
  <c r="D183" i="46"/>
  <c r="D182" i="46"/>
  <c r="D185" i="46" s="1"/>
  <c r="D181" i="46"/>
  <c r="C177" i="46"/>
  <c r="B174" i="46"/>
  <c r="B173" i="46"/>
  <c r="B172" i="46"/>
  <c r="B171" i="46"/>
  <c r="C195" i="46" s="1"/>
  <c r="B170" i="46"/>
  <c r="C194" i="46" s="1"/>
  <c r="C162" i="46"/>
  <c r="D153" i="46"/>
  <c r="C153" i="46"/>
  <c r="D154" i="46" s="1"/>
  <c r="D152" i="46"/>
  <c r="D151" i="46"/>
  <c r="D150" i="46"/>
  <c r="D149" i="46"/>
  <c r="C145" i="46"/>
  <c r="B142" i="46"/>
  <c r="B141" i="46"/>
  <c r="B140" i="46"/>
  <c r="B139" i="46"/>
  <c r="C163" i="46" s="1"/>
  <c r="B138" i="46"/>
  <c r="C130" i="46"/>
  <c r="C129" i="46"/>
  <c r="D119" i="46"/>
  <c r="D118" i="46"/>
  <c r="D116" i="46"/>
  <c r="D120" i="46" s="1"/>
  <c r="C112" i="46"/>
  <c r="C120" i="46" s="1"/>
  <c r="D121" i="46" s="1"/>
  <c r="B109" i="46"/>
  <c r="B107" i="46"/>
  <c r="B105" i="46"/>
  <c r="C98" i="46"/>
  <c r="C97" i="46"/>
  <c r="D87" i="46"/>
  <c r="D86" i="46"/>
  <c r="D85" i="46"/>
  <c r="D84" i="46"/>
  <c r="D88" i="46" s="1"/>
  <c r="C80" i="46"/>
  <c r="C88" i="46" s="1"/>
  <c r="B77" i="46"/>
  <c r="B76" i="46"/>
  <c r="B75" i="46"/>
  <c r="B74" i="46"/>
  <c r="B73" i="46"/>
  <c r="D52" i="46"/>
  <c r="C52" i="46"/>
  <c r="B41" i="46"/>
  <c r="B39" i="46"/>
  <c r="B38" i="46"/>
  <c r="C62" i="46" s="1"/>
  <c r="B37" i="46"/>
  <c r="C61" i="46" s="1"/>
  <c r="C29" i="46"/>
  <c r="C20" i="46"/>
  <c r="D19" i="46"/>
  <c r="D18" i="46"/>
  <c r="D20" i="46" s="1"/>
  <c r="D17" i="46"/>
  <c r="D16" i="46"/>
  <c r="C12" i="46"/>
  <c r="B9" i="46"/>
  <c r="B7" i="46"/>
  <c r="B6" i="46"/>
  <c r="C30" i="46" s="1"/>
  <c r="B5" i="46"/>
  <c r="D534" i="43"/>
  <c r="D533" i="43"/>
  <c r="D532" i="43"/>
  <c r="D604" i="43"/>
  <c r="D603" i="43"/>
  <c r="D602" i="43"/>
  <c r="D601" i="43"/>
  <c r="C597" i="43"/>
  <c r="B594" i="43"/>
  <c r="B593" i="43"/>
  <c r="B592" i="43"/>
  <c r="B591" i="43"/>
  <c r="B590" i="43"/>
  <c r="C582" i="43"/>
  <c r="D572" i="43"/>
  <c r="D571" i="43"/>
  <c r="D570" i="43"/>
  <c r="D569" i="43"/>
  <c r="C565" i="43"/>
  <c r="B562" i="43"/>
  <c r="B561" i="43"/>
  <c r="B560" i="43"/>
  <c r="B559" i="43"/>
  <c r="B558" i="43"/>
  <c r="D531" i="43"/>
  <c r="C527" i="43"/>
  <c r="B524" i="43"/>
  <c r="B523" i="43"/>
  <c r="B522" i="43"/>
  <c r="B521" i="43"/>
  <c r="B520" i="43"/>
  <c r="S63" i="44"/>
  <c r="Q63" i="44"/>
  <c r="P63" i="44"/>
  <c r="O63" i="44"/>
  <c r="N63" i="44"/>
  <c r="J63" i="44"/>
  <c r="M62" i="44"/>
  <c r="H62" i="44"/>
  <c r="L62" i="44" s="1"/>
  <c r="R62" i="44" s="1"/>
  <c r="M61" i="44"/>
  <c r="M63" i="44" s="1"/>
  <c r="L61" i="44"/>
  <c r="R61" i="44" s="1"/>
  <c r="J61" i="44"/>
  <c r="H61" i="44"/>
  <c r="I61" i="44" s="1"/>
  <c r="K61" i="44" s="1"/>
  <c r="T61" i="44" s="1"/>
  <c r="M60" i="44"/>
  <c r="J60" i="44"/>
  <c r="H60" i="44"/>
  <c r="H63" i="44" s="1"/>
  <c r="C41" i="44"/>
  <c r="Q38" i="44"/>
  <c r="P38" i="44"/>
  <c r="O38" i="44"/>
  <c r="J38" i="44"/>
  <c r="I38" i="44"/>
  <c r="G38" i="44"/>
  <c r="F38" i="44"/>
  <c r="R37" i="44"/>
  <c r="M37" i="44"/>
  <c r="L37" i="44"/>
  <c r="H37" i="44"/>
  <c r="K37" i="44" s="1"/>
  <c r="T37" i="44" s="1"/>
  <c r="M36" i="44"/>
  <c r="L36" i="44"/>
  <c r="R36" i="44" s="1"/>
  <c r="H36" i="44"/>
  <c r="K36" i="44" s="1"/>
  <c r="T36" i="44" s="1"/>
  <c r="S35" i="44"/>
  <c r="M35" i="44"/>
  <c r="L35" i="44"/>
  <c r="R35" i="44" s="1"/>
  <c r="H35" i="44"/>
  <c r="K35" i="44" s="1"/>
  <c r="T35" i="44" s="1"/>
  <c r="R34" i="44"/>
  <c r="M34" i="44"/>
  <c r="L34" i="44"/>
  <c r="H34" i="44"/>
  <c r="K34" i="44" s="1"/>
  <c r="M33" i="44"/>
  <c r="L33" i="44"/>
  <c r="R33" i="44" s="1"/>
  <c r="H33" i="44"/>
  <c r="K33" i="44" s="1"/>
  <c r="T33" i="44" s="1"/>
  <c r="S32" i="44"/>
  <c r="R32" i="44"/>
  <c r="M32" i="44"/>
  <c r="L32" i="44"/>
  <c r="H32" i="44"/>
  <c r="K32" i="44" s="1"/>
  <c r="T32" i="44" s="1"/>
  <c r="S31" i="44"/>
  <c r="S38" i="44" s="1"/>
  <c r="M31" i="44"/>
  <c r="L31" i="44"/>
  <c r="R31" i="44" s="1"/>
  <c r="H31" i="44"/>
  <c r="K31" i="44" s="1"/>
  <c r="S30" i="44"/>
  <c r="M30" i="44"/>
  <c r="L30" i="44"/>
  <c r="R30" i="44" s="1"/>
  <c r="H30" i="44"/>
  <c r="K30" i="44" s="1"/>
  <c r="T30" i="44" s="1"/>
  <c r="M29" i="44"/>
  <c r="M38" i="44" s="1"/>
  <c r="L29" i="44"/>
  <c r="L38" i="44" s="1"/>
  <c r="H29" i="44"/>
  <c r="H38" i="44" s="1"/>
  <c r="L15" i="44"/>
  <c r="Q14" i="44"/>
  <c r="P14" i="44"/>
  <c r="O14" i="44"/>
  <c r="N14" i="44"/>
  <c r="J14" i="44"/>
  <c r="I14" i="44"/>
  <c r="G14" i="44"/>
  <c r="F14" i="44"/>
  <c r="H13" i="44"/>
  <c r="K13" i="44" s="1"/>
  <c r="S12" i="44"/>
  <c r="M12" i="44"/>
  <c r="H12" i="44"/>
  <c r="L12" i="44" s="1"/>
  <c r="R12" i="44" s="1"/>
  <c r="S11" i="44"/>
  <c r="M11" i="44"/>
  <c r="L11" i="44"/>
  <c r="R11" i="44" s="1"/>
  <c r="H11" i="44"/>
  <c r="K11" i="44" s="1"/>
  <c r="S10" i="44"/>
  <c r="H10" i="44"/>
  <c r="M10" i="44" s="1"/>
  <c r="M9" i="44"/>
  <c r="H9" i="44"/>
  <c r="L9" i="44" s="1"/>
  <c r="R9" i="44" s="1"/>
  <c r="S8" i="44"/>
  <c r="S14" i="44" s="1"/>
  <c r="H8" i="44"/>
  <c r="H14" i="44" s="1"/>
  <c r="D53" i="46" l="1"/>
  <c r="D606" i="46"/>
  <c r="T34" i="44"/>
  <c r="D186" i="46"/>
  <c r="D536" i="46"/>
  <c r="D21" i="46"/>
  <c r="D89" i="46"/>
  <c r="T13" i="44"/>
  <c r="T11" i="44"/>
  <c r="T31" i="44"/>
  <c r="K29" i="44"/>
  <c r="L13" i="44"/>
  <c r="R13" i="44" s="1"/>
  <c r="I60" i="44"/>
  <c r="I63" i="44" s="1"/>
  <c r="K8" i="44"/>
  <c r="M13" i="44"/>
  <c r="L8" i="44"/>
  <c r="K10" i="44"/>
  <c r="T10" i="44" s="1"/>
  <c r="R29" i="44"/>
  <c r="R38" i="44" s="1"/>
  <c r="K60" i="44"/>
  <c r="M8" i="44"/>
  <c r="M14" i="44" s="1"/>
  <c r="L10" i="44"/>
  <c r="R10" i="44" s="1"/>
  <c r="L60" i="44"/>
  <c r="K12" i="44"/>
  <c r="T12" i="44" s="1"/>
  <c r="K62" i="44"/>
  <c r="T62" i="44" s="1"/>
  <c r="K9" i="44"/>
  <c r="T9" i="44" s="1"/>
  <c r="H30" i="42"/>
  <c r="K30" i="42" s="1"/>
  <c r="H31" i="42"/>
  <c r="K31" i="42" s="1"/>
  <c r="H32" i="42"/>
  <c r="K32" i="42" s="1"/>
  <c r="H33" i="42"/>
  <c r="K33" i="42" s="1"/>
  <c r="H34" i="42"/>
  <c r="K34" i="42" s="1"/>
  <c r="T34" i="42" s="1"/>
  <c r="H35" i="42"/>
  <c r="K35" i="42" s="1"/>
  <c r="H36" i="42"/>
  <c r="K36" i="42" s="1"/>
  <c r="T36" i="42" s="1"/>
  <c r="K37" i="42"/>
  <c r="K38" i="42" s="1"/>
  <c r="H29" i="42"/>
  <c r="H62" i="42"/>
  <c r="L62" i="42" s="1"/>
  <c r="R62" i="42" s="1"/>
  <c r="L36" i="42"/>
  <c r="M36" i="42"/>
  <c r="R36" i="42"/>
  <c r="R37" i="42"/>
  <c r="C605" i="43"/>
  <c r="C615" i="43"/>
  <c r="C614" i="43"/>
  <c r="C573" i="43"/>
  <c r="C583" i="43"/>
  <c r="C545" i="43"/>
  <c r="C544" i="43"/>
  <c r="C535" i="43"/>
  <c r="D502" i="43"/>
  <c r="D501" i="43"/>
  <c r="D500" i="43"/>
  <c r="C495" i="43"/>
  <c r="B492" i="43"/>
  <c r="B491" i="43"/>
  <c r="B490" i="43"/>
  <c r="B489" i="43"/>
  <c r="C513" i="43" s="1"/>
  <c r="B488" i="43"/>
  <c r="D464" i="43"/>
  <c r="D463" i="43"/>
  <c r="D462" i="43"/>
  <c r="B454" i="43"/>
  <c r="B453" i="43"/>
  <c r="B452" i="43"/>
  <c r="B451" i="43"/>
  <c r="C475" i="43" s="1"/>
  <c r="B450" i="43"/>
  <c r="C474" i="43" s="1"/>
  <c r="D432" i="43"/>
  <c r="D430" i="43"/>
  <c r="C425" i="43"/>
  <c r="C433" i="43" s="1"/>
  <c r="B422" i="43"/>
  <c r="B421" i="43"/>
  <c r="B420" i="43"/>
  <c r="B419" i="43"/>
  <c r="C443" i="43" s="1"/>
  <c r="B418" i="43"/>
  <c r="C395" i="43"/>
  <c r="D394" i="43"/>
  <c r="D393" i="43"/>
  <c r="D392" i="43"/>
  <c r="C387" i="43"/>
  <c r="B384" i="43"/>
  <c r="B383" i="43"/>
  <c r="B382" i="43"/>
  <c r="B381" i="43"/>
  <c r="C405" i="43" s="1"/>
  <c r="B380" i="43"/>
  <c r="C404" i="43" s="1"/>
  <c r="C372" i="43"/>
  <c r="C363" i="43"/>
  <c r="D362" i="43"/>
  <c r="D360" i="43"/>
  <c r="C355" i="43"/>
  <c r="B352" i="43"/>
  <c r="B351" i="43"/>
  <c r="B350" i="43"/>
  <c r="B349" i="43"/>
  <c r="C373" i="43" s="1"/>
  <c r="B348" i="43"/>
  <c r="C317" i="43"/>
  <c r="C325" i="43" s="1"/>
  <c r="B314" i="43"/>
  <c r="B313" i="43"/>
  <c r="B312" i="43"/>
  <c r="B311" i="43"/>
  <c r="C335" i="43" s="1"/>
  <c r="B310" i="43"/>
  <c r="C334" i="43" s="1"/>
  <c r="D292" i="43"/>
  <c r="D290" i="43"/>
  <c r="C285" i="43"/>
  <c r="C293" i="43" s="1"/>
  <c r="B282" i="43"/>
  <c r="B281" i="43"/>
  <c r="B280" i="43"/>
  <c r="B279" i="43"/>
  <c r="C303" i="43" s="1"/>
  <c r="B278" i="43"/>
  <c r="D254" i="43"/>
  <c r="D252" i="43"/>
  <c r="C247" i="43"/>
  <c r="C255" i="43" s="1"/>
  <c r="B244" i="43"/>
  <c r="B243" i="43"/>
  <c r="B242" i="43"/>
  <c r="B241" i="43"/>
  <c r="C265" i="43" s="1"/>
  <c r="B240" i="43"/>
  <c r="C264" i="43" s="1"/>
  <c r="C232" i="43"/>
  <c r="D222" i="43"/>
  <c r="D221" i="43"/>
  <c r="D220" i="43"/>
  <c r="C215" i="43"/>
  <c r="C223" i="43" s="1"/>
  <c r="B212" i="43"/>
  <c r="B211" i="43"/>
  <c r="B210" i="43"/>
  <c r="B209" i="43"/>
  <c r="C233" i="43" s="1"/>
  <c r="B208" i="43"/>
  <c r="D184" i="43"/>
  <c r="D183" i="43"/>
  <c r="D182" i="43"/>
  <c r="C177" i="43"/>
  <c r="C185" i="43" s="1"/>
  <c r="B174" i="43"/>
  <c r="B173" i="43"/>
  <c r="B172" i="43"/>
  <c r="B171" i="43"/>
  <c r="C195" i="43" s="1"/>
  <c r="B170" i="43"/>
  <c r="C194" i="43" s="1"/>
  <c r="D152" i="43"/>
  <c r="D150" i="43"/>
  <c r="C145" i="43"/>
  <c r="C153" i="43" s="1"/>
  <c r="B142" i="43"/>
  <c r="B141" i="43"/>
  <c r="B140" i="43"/>
  <c r="B139" i="43"/>
  <c r="C163" i="43" s="1"/>
  <c r="B138" i="43"/>
  <c r="C130" i="43"/>
  <c r="C129" i="43"/>
  <c r="D119" i="43"/>
  <c r="B109" i="43"/>
  <c r="B108" i="43"/>
  <c r="B107" i="43"/>
  <c r="B105" i="43"/>
  <c r="D87" i="43"/>
  <c r="D85" i="43"/>
  <c r="C80" i="43"/>
  <c r="C88" i="43" s="1"/>
  <c r="B77" i="43"/>
  <c r="B76" i="43"/>
  <c r="B75" i="43"/>
  <c r="B74" i="43"/>
  <c r="C98" i="43" s="1"/>
  <c r="B73" i="43"/>
  <c r="D51" i="43"/>
  <c r="D50" i="43"/>
  <c r="D49" i="43"/>
  <c r="C44" i="43"/>
  <c r="C52" i="43" s="1"/>
  <c r="B41" i="43"/>
  <c r="B40" i="43"/>
  <c r="B39" i="43"/>
  <c r="B38" i="43"/>
  <c r="C62" i="43" s="1"/>
  <c r="B37" i="43"/>
  <c r="C61" i="43" s="1"/>
  <c r="D19" i="43"/>
  <c r="D17" i="43"/>
  <c r="C20" i="43"/>
  <c r="B9" i="43"/>
  <c r="B7" i="43"/>
  <c r="B6" i="43"/>
  <c r="C30" i="43" s="1"/>
  <c r="B5" i="43"/>
  <c r="M62" i="42"/>
  <c r="M61" i="42"/>
  <c r="J61" i="42"/>
  <c r="H61" i="42"/>
  <c r="L61" i="42" s="1"/>
  <c r="R61" i="42" s="1"/>
  <c r="M60" i="42"/>
  <c r="J60" i="42"/>
  <c r="J63" i="42" s="1"/>
  <c r="H60" i="42"/>
  <c r="C41" i="42"/>
  <c r="J38" i="42"/>
  <c r="I38" i="42"/>
  <c r="G38" i="42"/>
  <c r="S35" i="42"/>
  <c r="M35" i="42"/>
  <c r="L35" i="42"/>
  <c r="R35" i="42" s="1"/>
  <c r="M34" i="42"/>
  <c r="L34" i="42"/>
  <c r="R34" i="42" s="1"/>
  <c r="M33" i="42"/>
  <c r="L33" i="42"/>
  <c r="R33" i="42" s="1"/>
  <c r="S32" i="42"/>
  <c r="M32" i="42"/>
  <c r="L32" i="42"/>
  <c r="S31" i="42"/>
  <c r="M31" i="42"/>
  <c r="L31" i="42"/>
  <c r="R31" i="42" s="1"/>
  <c r="S30" i="42"/>
  <c r="M30" i="42"/>
  <c r="L30" i="42"/>
  <c r="R30" i="42" s="1"/>
  <c r="M29" i="42"/>
  <c r="L29" i="42"/>
  <c r="Q14" i="42"/>
  <c r="P14" i="42"/>
  <c r="O14" i="42"/>
  <c r="N14" i="42"/>
  <c r="J14" i="42"/>
  <c r="I14" i="42"/>
  <c r="G14" i="42"/>
  <c r="F14" i="42"/>
  <c r="H13" i="42"/>
  <c r="M13" i="42" s="1"/>
  <c r="S12" i="42"/>
  <c r="H12" i="42"/>
  <c r="L12" i="42" s="1"/>
  <c r="R12" i="42" s="1"/>
  <c r="S11" i="42"/>
  <c r="H11" i="42"/>
  <c r="M11" i="42" s="1"/>
  <c r="S10" i="42"/>
  <c r="H10" i="42"/>
  <c r="M10" i="42" s="1"/>
  <c r="H9" i="42"/>
  <c r="M9" i="42" s="1"/>
  <c r="S8" i="42"/>
  <c r="H8" i="42"/>
  <c r="M8" i="42" s="1"/>
  <c r="D502" i="41"/>
  <c r="D501" i="41"/>
  <c r="D500" i="41"/>
  <c r="C495" i="41"/>
  <c r="B492" i="41"/>
  <c r="B491" i="41"/>
  <c r="B490" i="41"/>
  <c r="B489" i="41"/>
  <c r="B488" i="41"/>
  <c r="C512" i="43" s="1"/>
  <c r="D464" i="41"/>
  <c r="D463" i="41"/>
  <c r="D462" i="41"/>
  <c r="B454" i="41"/>
  <c r="B453" i="41"/>
  <c r="B452" i="41"/>
  <c r="B451" i="41"/>
  <c r="B450" i="41"/>
  <c r="S35" i="40"/>
  <c r="D431" i="43" s="1"/>
  <c r="D430" i="41"/>
  <c r="D432" i="41"/>
  <c r="C425" i="41"/>
  <c r="B422" i="41"/>
  <c r="B421" i="41"/>
  <c r="B420" i="41"/>
  <c r="B419" i="41"/>
  <c r="B418" i="41"/>
  <c r="C442" i="43" s="1"/>
  <c r="D394" i="41"/>
  <c r="D393" i="41"/>
  <c r="D392" i="41"/>
  <c r="C387" i="41"/>
  <c r="B384" i="41"/>
  <c r="B383" i="41"/>
  <c r="B381" i="41"/>
  <c r="B382" i="41"/>
  <c r="B380" i="41"/>
  <c r="D362" i="41"/>
  <c r="D360" i="41"/>
  <c r="C355" i="41"/>
  <c r="B352" i="41"/>
  <c r="B351" i="41"/>
  <c r="B350" i="41"/>
  <c r="B349" i="41"/>
  <c r="B348" i="41"/>
  <c r="C317" i="41"/>
  <c r="B311" i="41"/>
  <c r="B314" i="41"/>
  <c r="B313" i="41"/>
  <c r="B312" i="41"/>
  <c r="B310" i="41"/>
  <c r="B282" i="41"/>
  <c r="B281" i="41"/>
  <c r="D292" i="41"/>
  <c r="D290" i="41"/>
  <c r="C285" i="41"/>
  <c r="B280" i="41"/>
  <c r="B279" i="41"/>
  <c r="B278" i="41"/>
  <c r="C302" i="43" s="1"/>
  <c r="D254" i="41"/>
  <c r="D252" i="41"/>
  <c r="C247" i="41"/>
  <c r="B242" i="41"/>
  <c r="B241" i="41"/>
  <c r="B240" i="41"/>
  <c r="B211" i="41"/>
  <c r="B210" i="41"/>
  <c r="B209" i="41"/>
  <c r="D222" i="41"/>
  <c r="D221" i="41"/>
  <c r="D220" i="41"/>
  <c r="C215" i="41"/>
  <c r="B208" i="41"/>
  <c r="C177" i="41"/>
  <c r="B171" i="41"/>
  <c r="B174" i="41"/>
  <c r="B173" i="41"/>
  <c r="B172" i="41"/>
  <c r="B170" i="41"/>
  <c r="D152" i="41"/>
  <c r="C145" i="41"/>
  <c r="B142" i="41"/>
  <c r="B141" i="41"/>
  <c r="B140" i="41"/>
  <c r="B139" i="41"/>
  <c r="B138" i="41"/>
  <c r="C162" i="43" s="1"/>
  <c r="D119" i="41"/>
  <c r="B109" i="41"/>
  <c r="B108" i="41"/>
  <c r="B107" i="41"/>
  <c r="B105" i="41"/>
  <c r="K63" i="44" l="1"/>
  <c r="L14" i="44"/>
  <c r="R8" i="44"/>
  <c r="R14" i="44" s="1"/>
  <c r="K14" i="44"/>
  <c r="T8" i="44"/>
  <c r="T14" i="44" s="1"/>
  <c r="T29" i="44"/>
  <c r="T38" i="44" s="1"/>
  <c r="K38" i="44"/>
  <c r="R60" i="44"/>
  <c r="R63" i="44" s="1"/>
  <c r="L63" i="44"/>
  <c r="D535" i="43"/>
  <c r="D536" i="43" s="1"/>
  <c r="D573" i="43"/>
  <c r="D574" i="43" s="1"/>
  <c r="D605" i="43"/>
  <c r="D606" i="43" s="1"/>
  <c r="D431" i="41"/>
  <c r="M12" i="42"/>
  <c r="L9" i="42"/>
  <c r="R9" i="42" s="1"/>
  <c r="L15" i="42"/>
  <c r="H63" i="42"/>
  <c r="R32" i="42"/>
  <c r="T32" i="42" s="1"/>
  <c r="S14" i="42"/>
  <c r="T37" i="42"/>
  <c r="T38" i="42" s="1"/>
  <c r="T30" i="42"/>
  <c r="T35" i="42"/>
  <c r="H14" i="42"/>
  <c r="T33" i="42"/>
  <c r="T31" i="42"/>
  <c r="K9" i="42"/>
  <c r="K11" i="42"/>
  <c r="L11" i="42"/>
  <c r="R11" i="42" s="1"/>
  <c r="K29" i="42"/>
  <c r="I61" i="42"/>
  <c r="K61" i="42" s="1"/>
  <c r="T61" i="42" s="1"/>
  <c r="K13" i="42"/>
  <c r="L13" i="42"/>
  <c r="R13" i="42" s="1"/>
  <c r="K62" i="42"/>
  <c r="T62" i="42" s="1"/>
  <c r="K8" i="42"/>
  <c r="R29" i="42"/>
  <c r="L8" i="42"/>
  <c r="K10" i="42"/>
  <c r="I60" i="42"/>
  <c r="K60" i="42" s="1"/>
  <c r="L10" i="42"/>
  <c r="R10" i="42" s="1"/>
  <c r="K12" i="42"/>
  <c r="T12" i="42" s="1"/>
  <c r="L60" i="42"/>
  <c r="D87" i="41"/>
  <c r="C80" i="41"/>
  <c r="B77" i="41"/>
  <c r="B76" i="41"/>
  <c r="B74" i="41"/>
  <c r="C98" i="41" s="1"/>
  <c r="B75" i="41"/>
  <c r="B73" i="41"/>
  <c r="B7" i="41"/>
  <c r="D674" i="41"/>
  <c r="D673" i="41"/>
  <c r="D672" i="41"/>
  <c r="D671" i="41"/>
  <c r="D675" i="41" s="1"/>
  <c r="C667" i="41"/>
  <c r="C675" i="41" s="1"/>
  <c r="B664" i="41"/>
  <c r="B663" i="41"/>
  <c r="B662" i="41"/>
  <c r="B661" i="41"/>
  <c r="C685" i="41" s="1"/>
  <c r="B660" i="41"/>
  <c r="C684" i="41" s="1"/>
  <c r="C653" i="41"/>
  <c r="C643" i="41"/>
  <c r="D642" i="41"/>
  <c r="D641" i="41"/>
  <c r="D640" i="41"/>
  <c r="D639" i="41"/>
  <c r="D643" i="41" s="1"/>
  <c r="C635" i="41"/>
  <c r="B632" i="41"/>
  <c r="B631" i="41"/>
  <c r="B630" i="41"/>
  <c r="B629" i="41"/>
  <c r="B628" i="41"/>
  <c r="D604" i="41"/>
  <c r="D603" i="41"/>
  <c r="D602" i="41"/>
  <c r="D601" i="41"/>
  <c r="C597" i="41"/>
  <c r="C605" i="41" s="1"/>
  <c r="B594" i="41"/>
  <c r="B593" i="41"/>
  <c r="B592" i="41"/>
  <c r="B591" i="41"/>
  <c r="C615" i="41" s="1"/>
  <c r="B590" i="41"/>
  <c r="C614" i="41" s="1"/>
  <c r="D572" i="41"/>
  <c r="D571" i="41"/>
  <c r="D570" i="41"/>
  <c r="D569" i="41"/>
  <c r="C565" i="41"/>
  <c r="C573" i="41" s="1"/>
  <c r="B562" i="41"/>
  <c r="B561" i="41"/>
  <c r="B560" i="41"/>
  <c r="B559" i="41"/>
  <c r="C583" i="41" s="1"/>
  <c r="B558" i="41"/>
  <c r="D534" i="41"/>
  <c r="D533" i="41"/>
  <c r="D532" i="41"/>
  <c r="D531" i="41"/>
  <c r="D535" i="41" s="1"/>
  <c r="C527" i="41"/>
  <c r="C535" i="41" s="1"/>
  <c r="D536" i="41" s="1"/>
  <c r="B524" i="41"/>
  <c r="B523" i="41"/>
  <c r="B522" i="41"/>
  <c r="B521" i="41"/>
  <c r="C545" i="41" s="1"/>
  <c r="C544" i="41"/>
  <c r="C513" i="41"/>
  <c r="C512" i="41"/>
  <c r="C475" i="41"/>
  <c r="C474" i="41"/>
  <c r="C443" i="41"/>
  <c r="C433" i="41"/>
  <c r="C442" i="41"/>
  <c r="C395" i="41"/>
  <c r="C405" i="41"/>
  <c r="C404" i="41"/>
  <c r="C363" i="41"/>
  <c r="C373" i="41"/>
  <c r="C372" i="41"/>
  <c r="C325" i="41"/>
  <c r="C335" i="41"/>
  <c r="C334" i="41"/>
  <c r="C303" i="41"/>
  <c r="C293" i="41"/>
  <c r="C302" i="41"/>
  <c r="C255" i="41"/>
  <c r="B244" i="41"/>
  <c r="B243" i="41"/>
  <c r="C265" i="41"/>
  <c r="C264" i="41"/>
  <c r="C233" i="41"/>
  <c r="C223" i="41"/>
  <c r="B212" i="41"/>
  <c r="C232" i="41"/>
  <c r="D184" i="41"/>
  <c r="D183" i="41"/>
  <c r="D182" i="41"/>
  <c r="C185" i="41"/>
  <c r="C195" i="41"/>
  <c r="C194" i="41"/>
  <c r="C153" i="41"/>
  <c r="D150" i="41"/>
  <c r="C163" i="41"/>
  <c r="C162" i="41"/>
  <c r="C130" i="41"/>
  <c r="C129" i="41"/>
  <c r="C88" i="41"/>
  <c r="D85" i="41"/>
  <c r="B38" i="41"/>
  <c r="C62" i="41"/>
  <c r="C61" i="41"/>
  <c r="D51" i="41"/>
  <c r="D50" i="41"/>
  <c r="D49" i="41"/>
  <c r="C44" i="41"/>
  <c r="B41" i="41"/>
  <c r="B40" i="41"/>
  <c r="B39" i="41"/>
  <c r="B37" i="41"/>
  <c r="D19" i="41"/>
  <c r="D17" i="41"/>
  <c r="C12" i="41"/>
  <c r="B9" i="41"/>
  <c r="B8" i="41"/>
  <c r="B6" i="41"/>
  <c r="C30" i="41" s="1"/>
  <c r="B5" i="41"/>
  <c r="C29" i="43" s="1"/>
  <c r="T60" i="44" l="1"/>
  <c r="T65" i="44" s="1"/>
  <c r="D644" i="41"/>
  <c r="D676" i="41"/>
  <c r="C97" i="41"/>
  <c r="C97" i="43"/>
  <c r="C582" i="41"/>
  <c r="C29" i="41"/>
  <c r="D605" i="41"/>
  <c r="C652" i="41"/>
  <c r="D606" i="41"/>
  <c r="D573" i="41"/>
  <c r="D574" i="41" s="1"/>
  <c r="R38" i="42"/>
  <c r="K14" i="42"/>
  <c r="R60" i="42"/>
  <c r="T13" i="42"/>
  <c r="K63" i="42"/>
  <c r="T60" i="42"/>
  <c r="T29" i="42"/>
  <c r="I63" i="42"/>
  <c r="T11" i="42"/>
  <c r="T10" i="42"/>
  <c r="R8" i="42"/>
  <c r="R14" i="42" s="1"/>
  <c r="T9" i="42"/>
  <c r="C52" i="41"/>
  <c r="C20" i="41"/>
  <c r="T63" i="44" l="1"/>
  <c r="W15" i="44" s="1"/>
  <c r="W17" i="44"/>
  <c r="T8" i="42"/>
  <c r="W15" i="42" s="1"/>
  <c r="M59" i="40"/>
  <c r="M60" i="40"/>
  <c r="M61" i="40"/>
  <c r="M58" i="40"/>
  <c r="W17" i="42" l="1"/>
  <c r="H61" i="40"/>
  <c r="L61" i="40" s="1"/>
  <c r="R61" i="40" s="1"/>
  <c r="H60" i="40"/>
  <c r="K60" i="40" s="1"/>
  <c r="H8" i="32"/>
  <c r="M8" i="32" s="1"/>
  <c r="H35" i="40"/>
  <c r="K35" i="40" s="1"/>
  <c r="H59" i="40"/>
  <c r="L59" i="40" s="1"/>
  <c r="R59" i="40" s="1"/>
  <c r="H58" i="40"/>
  <c r="Q32" i="40"/>
  <c r="O32" i="40"/>
  <c r="S62" i="40"/>
  <c r="Q62" i="40"/>
  <c r="P62" i="40"/>
  <c r="O62" i="40"/>
  <c r="J59" i="40"/>
  <c r="J58" i="40"/>
  <c r="C39" i="40"/>
  <c r="P36" i="40"/>
  <c r="J36" i="40"/>
  <c r="I36" i="40"/>
  <c r="G36" i="40"/>
  <c r="F36" i="40"/>
  <c r="M35" i="40"/>
  <c r="L35" i="40"/>
  <c r="M34" i="40"/>
  <c r="L34" i="40"/>
  <c r="H34" i="40"/>
  <c r="K34" i="40" s="1"/>
  <c r="S33" i="40"/>
  <c r="M33" i="40"/>
  <c r="L33" i="40"/>
  <c r="H33" i="40"/>
  <c r="K33" i="40" s="1"/>
  <c r="S32" i="40"/>
  <c r="M32" i="40"/>
  <c r="L32" i="40"/>
  <c r="H32" i="40"/>
  <c r="K32" i="40" s="1"/>
  <c r="S31" i="40"/>
  <c r="M31" i="40"/>
  <c r="L31" i="40"/>
  <c r="H31" i="40"/>
  <c r="K31" i="40" s="1"/>
  <c r="S30" i="40"/>
  <c r="M30" i="40"/>
  <c r="L30" i="40"/>
  <c r="H30" i="40"/>
  <c r="K30" i="40" s="1"/>
  <c r="M29" i="40"/>
  <c r="L29" i="40"/>
  <c r="H29" i="40"/>
  <c r="K29" i="40" s="1"/>
  <c r="Q14" i="40"/>
  <c r="P14" i="40"/>
  <c r="O14" i="40"/>
  <c r="N14" i="40"/>
  <c r="J14" i="40"/>
  <c r="I14" i="40"/>
  <c r="G14" i="40"/>
  <c r="F14" i="40"/>
  <c r="H13" i="40"/>
  <c r="L13" i="40" s="1"/>
  <c r="S12" i="40"/>
  <c r="H12" i="40"/>
  <c r="L15" i="40" s="1"/>
  <c r="S11" i="40"/>
  <c r="H11" i="40"/>
  <c r="K11" i="40" s="1"/>
  <c r="S10" i="40"/>
  <c r="H10" i="40"/>
  <c r="K10" i="40" s="1"/>
  <c r="H9" i="40"/>
  <c r="L9" i="40" s="1"/>
  <c r="S8" i="40"/>
  <c r="H8" i="40"/>
  <c r="L11" i="39"/>
  <c r="L12" i="39"/>
  <c r="L13" i="39"/>
  <c r="L14" i="39"/>
  <c r="L15" i="39"/>
  <c r="L10" i="39"/>
  <c r="D18" i="41" l="1"/>
  <c r="R9" i="40"/>
  <c r="T9" i="40" s="1"/>
  <c r="D48" i="43"/>
  <c r="D52" i="43" s="1"/>
  <c r="D53" i="43" s="1"/>
  <c r="D48" i="41"/>
  <c r="D52" i="41" s="1"/>
  <c r="D53" i="41" s="1"/>
  <c r="R34" i="40"/>
  <c r="T34" i="40" s="1"/>
  <c r="D391" i="43"/>
  <c r="D395" i="43" s="1"/>
  <c r="D396" i="43" s="1"/>
  <c r="D391" i="41"/>
  <c r="D395" i="41" s="1"/>
  <c r="D396" i="41" s="1"/>
  <c r="I59" i="40"/>
  <c r="K59" i="40" s="1"/>
  <c r="C498" i="41"/>
  <c r="C498" i="43"/>
  <c r="D86" i="43"/>
  <c r="D86" i="41"/>
  <c r="D291" i="43"/>
  <c r="D291" i="41"/>
  <c r="R35" i="40"/>
  <c r="T35" i="40" s="1"/>
  <c r="D429" i="43"/>
  <c r="D433" i="43" s="1"/>
  <c r="D434" i="43" s="1"/>
  <c r="D429" i="41"/>
  <c r="D433" i="41" s="1"/>
  <c r="D434" i="41" s="1"/>
  <c r="D321" i="41"/>
  <c r="D325" i="41" s="1"/>
  <c r="D326" i="41" s="1"/>
  <c r="D321" i="43"/>
  <c r="R29" i="40"/>
  <c r="T29" i="40" s="1"/>
  <c r="D219" i="41"/>
  <c r="D223" i="41" s="1"/>
  <c r="D224" i="41" s="1"/>
  <c r="D219" i="43"/>
  <c r="D223" i="43" s="1"/>
  <c r="D224" i="43" s="1"/>
  <c r="D151" i="41"/>
  <c r="D151" i="43"/>
  <c r="D323" i="43"/>
  <c r="D323" i="41"/>
  <c r="K61" i="40"/>
  <c r="T61" i="40" s="1"/>
  <c r="R13" i="40"/>
  <c r="D181" i="43"/>
  <c r="D185" i="43" s="1"/>
  <c r="D186" i="43" s="1"/>
  <c r="D181" i="41"/>
  <c r="D185" i="41" s="1"/>
  <c r="D186" i="41" s="1"/>
  <c r="R33" i="40"/>
  <c r="T33" i="40" s="1"/>
  <c r="D359" i="43"/>
  <c r="D359" i="41"/>
  <c r="Q36" i="40"/>
  <c r="D324" i="43"/>
  <c r="D324" i="41"/>
  <c r="C460" i="43"/>
  <c r="C460" i="41"/>
  <c r="C457" i="43"/>
  <c r="C457" i="41"/>
  <c r="L58" i="40"/>
  <c r="R58" i="40" s="1"/>
  <c r="R31" i="40"/>
  <c r="T31" i="40" s="1"/>
  <c r="D289" i="41"/>
  <c r="D293" i="41" s="1"/>
  <c r="D294" i="41" s="1"/>
  <c r="D289" i="43"/>
  <c r="D499" i="41"/>
  <c r="D503" i="41" s="1"/>
  <c r="D499" i="43"/>
  <c r="D503" i="43" s="1"/>
  <c r="D118" i="43"/>
  <c r="D118" i="41"/>
  <c r="L60" i="40"/>
  <c r="R60" i="40" s="1"/>
  <c r="T60" i="40" s="1"/>
  <c r="R30" i="40"/>
  <c r="T30" i="40" s="1"/>
  <c r="D251" i="43"/>
  <c r="D251" i="41"/>
  <c r="O36" i="40"/>
  <c r="D322" i="43"/>
  <c r="D322" i="41"/>
  <c r="D253" i="43"/>
  <c r="D253" i="41"/>
  <c r="D361" i="41"/>
  <c r="D361" i="43"/>
  <c r="L11" i="40"/>
  <c r="H14" i="40"/>
  <c r="M13" i="40"/>
  <c r="K8" i="40"/>
  <c r="R32" i="40"/>
  <c r="T32" i="40" s="1"/>
  <c r="M8" i="40"/>
  <c r="S14" i="40"/>
  <c r="S36" i="40"/>
  <c r="M36" i="40"/>
  <c r="H36" i="40"/>
  <c r="M10" i="40"/>
  <c r="M11" i="40"/>
  <c r="K13" i="40"/>
  <c r="L10" i="40"/>
  <c r="M9" i="40"/>
  <c r="I58" i="40"/>
  <c r="K36" i="40"/>
  <c r="L8" i="40"/>
  <c r="L36" i="40"/>
  <c r="M12" i="40"/>
  <c r="K12" i="40"/>
  <c r="L12" i="40"/>
  <c r="K9" i="40"/>
  <c r="E38" i="39"/>
  <c r="E29" i="39"/>
  <c r="E16" i="39"/>
  <c r="J16" i="39"/>
  <c r="D325" i="43" l="1"/>
  <c r="D326" i="43" s="1"/>
  <c r="D255" i="41"/>
  <c r="D256" i="41" s="1"/>
  <c r="D255" i="43"/>
  <c r="D256" i="43" s="1"/>
  <c r="C112" i="43"/>
  <c r="C120" i="43" s="1"/>
  <c r="C112" i="41"/>
  <c r="C120" i="41" s="1"/>
  <c r="T12" i="40"/>
  <c r="T36" i="40"/>
  <c r="D116" i="43"/>
  <c r="D120" i="43" s="1"/>
  <c r="D116" i="41"/>
  <c r="D120" i="41" s="1"/>
  <c r="R11" i="40"/>
  <c r="T11" i="40" s="1"/>
  <c r="C465" i="43"/>
  <c r="D363" i="41"/>
  <c r="D364" i="41" s="1"/>
  <c r="C497" i="43"/>
  <c r="C503" i="43" s="1"/>
  <c r="D504" i="43" s="1"/>
  <c r="C497" i="41"/>
  <c r="C503" i="41" s="1"/>
  <c r="D504" i="41" s="1"/>
  <c r="D461" i="43"/>
  <c r="D465" i="43" s="1"/>
  <c r="D461" i="41"/>
  <c r="D465" i="41" s="1"/>
  <c r="D20" i="43"/>
  <c r="D21" i="43" s="1"/>
  <c r="D16" i="41"/>
  <c r="D20" i="41" s="1"/>
  <c r="D21" i="41" s="1"/>
  <c r="C459" i="43"/>
  <c r="C459" i="41"/>
  <c r="C465" i="41" s="1"/>
  <c r="D466" i="41" s="1"/>
  <c r="R10" i="40"/>
  <c r="T10" i="40" s="1"/>
  <c r="D84" i="43"/>
  <c r="D88" i="43" s="1"/>
  <c r="D89" i="43" s="1"/>
  <c r="D84" i="41"/>
  <c r="D88" i="41" s="1"/>
  <c r="D89" i="41" s="1"/>
  <c r="T13" i="40"/>
  <c r="R12" i="40"/>
  <c r="D149" i="43"/>
  <c r="D153" i="43" s="1"/>
  <c r="D154" i="43" s="1"/>
  <c r="D149" i="41"/>
  <c r="D153" i="41" s="1"/>
  <c r="D154" i="41" s="1"/>
  <c r="D293" i="43"/>
  <c r="D294" i="43" s="1"/>
  <c r="D363" i="43"/>
  <c r="D364" i="43" s="1"/>
  <c r="R36" i="40"/>
  <c r="M14" i="40"/>
  <c r="K58" i="40"/>
  <c r="R8" i="40"/>
  <c r="L14" i="40"/>
  <c r="K14" i="40"/>
  <c r="K36" i="39"/>
  <c r="M36" i="39" s="1"/>
  <c r="M38" i="39" s="1"/>
  <c r="K23" i="39"/>
  <c r="M23" i="39" s="1"/>
  <c r="K24" i="39"/>
  <c r="M24" i="39" s="1"/>
  <c r="K25" i="39"/>
  <c r="M25" i="39" s="1"/>
  <c r="K26" i="39"/>
  <c r="M26" i="39" s="1"/>
  <c r="K27" i="39"/>
  <c r="M27" i="39" s="1"/>
  <c r="K28" i="39"/>
  <c r="M28" i="39" s="1"/>
  <c r="G11" i="39"/>
  <c r="H11" i="39" s="1"/>
  <c r="G12" i="39"/>
  <c r="H12" i="39" s="1"/>
  <c r="G13" i="39"/>
  <c r="H13" i="39" s="1"/>
  <c r="G14" i="39"/>
  <c r="H14" i="39" s="1"/>
  <c r="G15" i="39"/>
  <c r="H15" i="39" s="1"/>
  <c r="G10" i="39"/>
  <c r="H10" i="39" s="1"/>
  <c r="K22" i="39"/>
  <c r="K11" i="39"/>
  <c r="K12" i="39"/>
  <c r="K13" i="39"/>
  <c r="K14" i="39"/>
  <c r="K15" i="39"/>
  <c r="K10" i="39"/>
  <c r="D466" i="43" l="1"/>
  <c r="D121" i="41"/>
  <c r="D121" i="43"/>
  <c r="R14" i="40"/>
  <c r="T8" i="40"/>
  <c r="T14" i="40" s="1"/>
  <c r="T58" i="40"/>
  <c r="K16" i="39"/>
  <c r="M22" i="39"/>
  <c r="M29" i="39" s="1"/>
  <c r="K29" i="39"/>
  <c r="H16" i="39"/>
  <c r="L16" i="39"/>
  <c r="M11" i="39"/>
  <c r="M15" i="39"/>
  <c r="M14" i="39"/>
  <c r="M13" i="39"/>
  <c r="M10" i="39"/>
  <c r="M12" i="39"/>
  <c r="I62" i="32"/>
  <c r="J60" i="32"/>
  <c r="J61" i="32"/>
  <c r="L60" i="32"/>
  <c r="G6" i="38"/>
  <c r="G7" i="38"/>
  <c r="G8" i="38"/>
  <c r="G9" i="38"/>
  <c r="G10" i="38"/>
  <c r="G5" i="38"/>
  <c r="W15" i="40" l="1"/>
  <c r="G11" i="38"/>
  <c r="M16" i="39"/>
  <c r="O16" i="39" s="1"/>
  <c r="L33" i="33"/>
  <c r="M33" i="33"/>
  <c r="C57" i="34"/>
  <c r="S11" i="35" l="1"/>
  <c r="S10" i="35"/>
  <c r="S31" i="35"/>
  <c r="S61" i="35"/>
  <c r="Q61" i="35"/>
  <c r="P61" i="35"/>
  <c r="O61" i="35"/>
  <c r="N61" i="35"/>
  <c r="M60" i="35"/>
  <c r="L60" i="35"/>
  <c r="J60" i="35"/>
  <c r="H60" i="35"/>
  <c r="M59" i="35"/>
  <c r="L59" i="35"/>
  <c r="H59" i="35"/>
  <c r="K59" i="35" s="1"/>
  <c r="J58" i="35"/>
  <c r="C39" i="35"/>
  <c r="Q36" i="35"/>
  <c r="P36" i="35"/>
  <c r="O36" i="35"/>
  <c r="J36" i="35"/>
  <c r="I36" i="35"/>
  <c r="G36" i="35"/>
  <c r="F36" i="35"/>
  <c r="S35" i="35"/>
  <c r="M35" i="35"/>
  <c r="L35" i="35"/>
  <c r="R35" i="35" s="1"/>
  <c r="H35" i="35"/>
  <c r="K35" i="35" s="1"/>
  <c r="M34" i="35"/>
  <c r="L34" i="35"/>
  <c r="R34" i="35" s="1"/>
  <c r="H34" i="35"/>
  <c r="K34" i="35" s="1"/>
  <c r="S33" i="35"/>
  <c r="M33" i="35"/>
  <c r="L33" i="35"/>
  <c r="R33" i="35" s="1"/>
  <c r="H33" i="35"/>
  <c r="K33" i="35" s="1"/>
  <c r="S32" i="35"/>
  <c r="M32" i="35"/>
  <c r="L32" i="35"/>
  <c r="R32" i="35" s="1"/>
  <c r="H32" i="35"/>
  <c r="K32" i="35" s="1"/>
  <c r="M31" i="35"/>
  <c r="L31" i="35"/>
  <c r="R31" i="35" s="1"/>
  <c r="H31" i="35"/>
  <c r="K31" i="35" s="1"/>
  <c r="T31" i="35" s="1"/>
  <c r="S30" i="35"/>
  <c r="M30" i="35"/>
  <c r="L30" i="35"/>
  <c r="R30" i="35" s="1"/>
  <c r="H30" i="35"/>
  <c r="K30" i="35" s="1"/>
  <c r="M29" i="35"/>
  <c r="M36" i="35" s="1"/>
  <c r="L29" i="35"/>
  <c r="H29" i="35"/>
  <c r="Q14" i="35"/>
  <c r="P14" i="35"/>
  <c r="O14" i="35"/>
  <c r="N14" i="35"/>
  <c r="J14" i="35"/>
  <c r="I14" i="35"/>
  <c r="G14" i="35"/>
  <c r="F14" i="35"/>
  <c r="H13" i="35"/>
  <c r="M13" i="35" s="1"/>
  <c r="S12" i="35"/>
  <c r="H12" i="35"/>
  <c r="L15" i="35" s="1"/>
  <c r="H11" i="35"/>
  <c r="K11" i="35" s="1"/>
  <c r="H10" i="35"/>
  <c r="M10" i="35" s="1"/>
  <c r="H9" i="35"/>
  <c r="L9" i="35" s="1"/>
  <c r="R9" i="35" s="1"/>
  <c r="S8" i="35"/>
  <c r="H8" i="35"/>
  <c r="T30" i="35" l="1"/>
  <c r="M61" i="35"/>
  <c r="M63" i="35" s="1"/>
  <c r="R59" i="35"/>
  <c r="L61" i="35"/>
  <c r="L36" i="35"/>
  <c r="T35" i="35"/>
  <c r="T33" i="35"/>
  <c r="J61" i="35"/>
  <c r="M9" i="35"/>
  <c r="L11" i="35"/>
  <c r="R11" i="35" s="1"/>
  <c r="T11" i="35" s="1"/>
  <c r="M11" i="35"/>
  <c r="H36" i="35"/>
  <c r="T32" i="35"/>
  <c r="H14" i="35"/>
  <c r="K13" i="35"/>
  <c r="K29" i="35"/>
  <c r="K36" i="35" s="1"/>
  <c r="L13" i="35"/>
  <c r="R13" i="35" s="1"/>
  <c r="H61" i="35"/>
  <c r="K9" i="35"/>
  <c r="T9" i="35" s="1"/>
  <c r="T59" i="35"/>
  <c r="S36" i="35"/>
  <c r="T34" i="35"/>
  <c r="S14" i="35"/>
  <c r="I58" i="35"/>
  <c r="K58" i="35" s="1"/>
  <c r="I60" i="35"/>
  <c r="K60" i="35" s="1"/>
  <c r="T60" i="35" s="1"/>
  <c r="R29" i="35"/>
  <c r="R36" i="35" s="1"/>
  <c r="K8" i="35"/>
  <c r="L8" i="35"/>
  <c r="K10" i="35"/>
  <c r="K12" i="35"/>
  <c r="M8" i="35"/>
  <c r="L10" i="35"/>
  <c r="R10" i="35" s="1"/>
  <c r="L12" i="35"/>
  <c r="R12" i="35" s="1"/>
  <c r="M12" i="35"/>
  <c r="B9" i="34"/>
  <c r="C420" i="34"/>
  <c r="D413" i="34"/>
  <c r="D420" i="34" s="1"/>
  <c r="D363" i="34"/>
  <c r="D370" i="34" s="1"/>
  <c r="C362" i="34"/>
  <c r="C370" i="34" s="1"/>
  <c r="D372" i="34" s="1"/>
  <c r="C320" i="34"/>
  <c r="D313" i="34"/>
  <c r="D320" i="34" s="1"/>
  <c r="C270" i="34"/>
  <c r="D263" i="34"/>
  <c r="D270" i="34" s="1"/>
  <c r="C220" i="34"/>
  <c r="D213" i="34"/>
  <c r="D220" i="34" s="1"/>
  <c r="C170" i="34"/>
  <c r="D163" i="34"/>
  <c r="D170" i="34" s="1"/>
  <c r="D172" i="34" s="1"/>
  <c r="C120" i="34"/>
  <c r="D113" i="34"/>
  <c r="D120" i="34" s="1"/>
  <c r="C68" i="34"/>
  <c r="M14" i="35" l="1"/>
  <c r="L14" i="35"/>
  <c r="L63" i="35"/>
  <c r="D322" i="34"/>
  <c r="T29" i="35"/>
  <c r="T36" i="35" s="1"/>
  <c r="T13" i="35"/>
  <c r="R8" i="35"/>
  <c r="R14" i="35" s="1"/>
  <c r="K61" i="35"/>
  <c r="K14" i="35"/>
  <c r="I61" i="35"/>
  <c r="R58" i="35"/>
  <c r="R61" i="35" s="1"/>
  <c r="T12" i="35"/>
  <c r="T10" i="35"/>
  <c r="D422" i="34"/>
  <c r="D222" i="34"/>
  <c r="D272" i="34"/>
  <c r="D122" i="34"/>
  <c r="T8" i="35" l="1"/>
  <c r="T14" i="35" s="1"/>
  <c r="T58" i="35"/>
  <c r="T61" i="35" l="1"/>
  <c r="T71" i="35"/>
  <c r="W15" i="35"/>
  <c r="J60" i="33"/>
  <c r="J58" i="33"/>
  <c r="J8" i="32" l="1"/>
  <c r="J14" i="33" l="1"/>
  <c r="S12" i="33"/>
  <c r="S8" i="33"/>
  <c r="S61" i="33"/>
  <c r="Q61" i="33"/>
  <c r="P61" i="33"/>
  <c r="O61" i="33"/>
  <c r="N61" i="33"/>
  <c r="M60" i="33"/>
  <c r="L60" i="33"/>
  <c r="R60" i="33" s="1"/>
  <c r="H60" i="33"/>
  <c r="I60" i="33" s="1"/>
  <c r="M59" i="33"/>
  <c r="L59" i="33"/>
  <c r="R59" i="33" s="1"/>
  <c r="H59" i="33"/>
  <c r="K59" i="33" s="1"/>
  <c r="M58" i="33"/>
  <c r="H58" i="33"/>
  <c r="C39" i="33"/>
  <c r="Q36" i="33"/>
  <c r="P36" i="33"/>
  <c r="O36" i="33"/>
  <c r="J36" i="33"/>
  <c r="I36" i="33"/>
  <c r="G36" i="33"/>
  <c r="F36" i="33"/>
  <c r="S35" i="33"/>
  <c r="M35" i="33"/>
  <c r="L35" i="33"/>
  <c r="R35" i="33" s="1"/>
  <c r="H35" i="33"/>
  <c r="K35" i="33" s="1"/>
  <c r="S34" i="33"/>
  <c r="M34" i="33"/>
  <c r="L34" i="33"/>
  <c r="R34" i="33" s="1"/>
  <c r="H34" i="33"/>
  <c r="K34" i="33" s="1"/>
  <c r="S33" i="33"/>
  <c r="R33" i="33"/>
  <c r="H33" i="33"/>
  <c r="K33" i="33" s="1"/>
  <c r="S32" i="33"/>
  <c r="M32" i="33"/>
  <c r="L32" i="33"/>
  <c r="R32" i="33" s="1"/>
  <c r="H32" i="33"/>
  <c r="K32" i="33" s="1"/>
  <c r="S31" i="33"/>
  <c r="M31" i="33"/>
  <c r="L31" i="33"/>
  <c r="R31" i="33" s="1"/>
  <c r="H31" i="33"/>
  <c r="K31" i="33" s="1"/>
  <c r="S30" i="33"/>
  <c r="M30" i="33"/>
  <c r="L30" i="33"/>
  <c r="R30" i="33" s="1"/>
  <c r="H30" i="33"/>
  <c r="K30" i="33" s="1"/>
  <c r="M29" i="33"/>
  <c r="L29" i="33"/>
  <c r="R29" i="33" s="1"/>
  <c r="H29" i="33"/>
  <c r="Q14" i="33"/>
  <c r="P14" i="33"/>
  <c r="O14" i="33"/>
  <c r="N14" i="33"/>
  <c r="G14" i="33"/>
  <c r="F14" i="33"/>
  <c r="H13" i="33"/>
  <c r="M13" i="33" s="1"/>
  <c r="H12" i="33"/>
  <c r="H11" i="33"/>
  <c r="M11" i="33" s="1"/>
  <c r="H10" i="33"/>
  <c r="M10" i="33" s="1"/>
  <c r="H9" i="33"/>
  <c r="H8" i="33"/>
  <c r="L8" i="33" s="1"/>
  <c r="T59" i="33" l="1"/>
  <c r="U59" i="33" s="1"/>
  <c r="D23" i="34"/>
  <c r="D63" i="34"/>
  <c r="D68" i="34" s="1"/>
  <c r="D70" i="34" s="1"/>
  <c r="M12" i="33"/>
  <c r="L15" i="33"/>
  <c r="L12" i="33"/>
  <c r="R12" i="33" s="1"/>
  <c r="C17" i="34"/>
  <c r="L58" i="33"/>
  <c r="R58" i="33" s="1"/>
  <c r="R61" i="33" s="1"/>
  <c r="I58" i="33"/>
  <c r="S14" i="33"/>
  <c r="T32" i="33"/>
  <c r="U32" i="33" s="1"/>
  <c r="T35" i="33"/>
  <c r="U35" i="33" s="1"/>
  <c r="J61" i="33"/>
  <c r="M61" i="33"/>
  <c r="T30" i="33"/>
  <c r="U30" i="33" s="1"/>
  <c r="T33" i="33"/>
  <c r="U33" i="33" s="1"/>
  <c r="L13" i="33"/>
  <c r="R13" i="33" s="1"/>
  <c r="L10" i="33"/>
  <c r="R10" i="33" s="1"/>
  <c r="S36" i="33"/>
  <c r="T31" i="33"/>
  <c r="U31" i="33" s="1"/>
  <c r="M36" i="33"/>
  <c r="T34" i="33"/>
  <c r="U34" i="33" s="1"/>
  <c r="H36" i="33"/>
  <c r="R8" i="33"/>
  <c r="R36" i="33"/>
  <c r="K12" i="33"/>
  <c r="L36" i="33"/>
  <c r="K60" i="33"/>
  <c r="T60" i="33" s="1"/>
  <c r="U60" i="33" s="1"/>
  <c r="L9" i="33"/>
  <c r="R9" i="33" s="1"/>
  <c r="M9" i="33"/>
  <c r="M8" i="33"/>
  <c r="K13" i="33"/>
  <c r="K29" i="33"/>
  <c r="H61" i="33"/>
  <c r="K9" i="33"/>
  <c r="H14" i="33"/>
  <c r="K8" i="33"/>
  <c r="K11" i="33"/>
  <c r="L11" i="33"/>
  <c r="R11" i="33" s="1"/>
  <c r="K10" i="33"/>
  <c r="H10" i="32"/>
  <c r="M10" i="32" s="1"/>
  <c r="H11" i="32"/>
  <c r="I12" i="32"/>
  <c r="H13" i="32"/>
  <c r="M13" i="32" s="1"/>
  <c r="L29" i="32"/>
  <c r="M29" i="32"/>
  <c r="L61" i="32"/>
  <c r="R61" i="32" s="1"/>
  <c r="M61" i="32"/>
  <c r="L62" i="32"/>
  <c r="R62" i="32" s="1"/>
  <c r="M62" i="32"/>
  <c r="L63" i="32"/>
  <c r="R63" i="32" s="1"/>
  <c r="M63" i="32"/>
  <c r="J63" i="32"/>
  <c r="I63" i="32"/>
  <c r="H63" i="32"/>
  <c r="J62" i="32"/>
  <c r="H62" i="32"/>
  <c r="I61" i="32"/>
  <c r="H61" i="32"/>
  <c r="K61" i="32" s="1"/>
  <c r="T61" i="32" s="1"/>
  <c r="U61" i="32" s="1"/>
  <c r="J9" i="32"/>
  <c r="T88" i="32"/>
  <c r="K74" i="32" s="1"/>
  <c r="T90" i="32"/>
  <c r="K76" i="32" s="1"/>
  <c r="T89" i="32"/>
  <c r="K75" i="32" s="1"/>
  <c r="M9" i="32" l="1"/>
  <c r="I8" i="32"/>
  <c r="L8" i="32"/>
  <c r="M12" i="32"/>
  <c r="L12" i="32"/>
  <c r="C25" i="34"/>
  <c r="D21" i="34"/>
  <c r="D25" i="34" s="1"/>
  <c r="D27" i="34" s="1"/>
  <c r="L61" i="33"/>
  <c r="M11" i="32"/>
  <c r="L11" i="32"/>
  <c r="T12" i="33"/>
  <c r="U12" i="33" s="1"/>
  <c r="I61" i="33"/>
  <c r="T13" i="33"/>
  <c r="U13" i="33" s="1"/>
  <c r="T10" i="33"/>
  <c r="U10" i="33" s="1"/>
  <c r="M14" i="33"/>
  <c r="K58" i="33"/>
  <c r="T9" i="33"/>
  <c r="U9" i="33" s="1"/>
  <c r="T29" i="33"/>
  <c r="U29" i="33" s="1"/>
  <c r="K36" i="33"/>
  <c r="R14" i="33"/>
  <c r="I14" i="33"/>
  <c r="L14" i="33"/>
  <c r="T11" i="33"/>
  <c r="U11" i="33" s="1"/>
  <c r="T8" i="33"/>
  <c r="U8" i="33" s="1"/>
  <c r="K14" i="33"/>
  <c r="K63" i="32"/>
  <c r="T63" i="32" s="1"/>
  <c r="U63" i="32" s="1"/>
  <c r="K62" i="32"/>
  <c r="T62" i="32" s="1"/>
  <c r="U62" i="32" s="1"/>
  <c r="L13" i="32"/>
  <c r="L10" i="32"/>
  <c r="L9" i="32"/>
  <c r="T84" i="32"/>
  <c r="U86" i="32" s="1"/>
  <c r="L74" i="32"/>
  <c r="L75" i="32"/>
  <c r="L76" i="32"/>
  <c r="U82" i="32"/>
  <c r="M14" i="32" l="1"/>
  <c r="K61" i="33"/>
  <c r="T58" i="33"/>
  <c r="U58" i="33" s="1"/>
  <c r="T36" i="33"/>
  <c r="T14" i="33"/>
  <c r="U84" i="32"/>
  <c r="U85" i="32"/>
  <c r="H60" i="32"/>
  <c r="I60" i="32" s="1"/>
  <c r="H59" i="32"/>
  <c r="K59" i="32" s="1"/>
  <c r="H58" i="32"/>
  <c r="H64" i="32" s="1"/>
  <c r="H75" i="32"/>
  <c r="H76" i="32"/>
  <c r="H74" i="32"/>
  <c r="H30" i="32"/>
  <c r="K30" i="32" s="1"/>
  <c r="H31" i="32"/>
  <c r="K31" i="32" s="1"/>
  <c r="H32" i="32"/>
  <c r="K32" i="32" s="1"/>
  <c r="H33" i="32"/>
  <c r="K33" i="32" s="1"/>
  <c r="H34" i="32"/>
  <c r="K34" i="32" s="1"/>
  <c r="H35" i="32"/>
  <c r="K35" i="32" s="1"/>
  <c r="H29" i="32"/>
  <c r="K29" i="32" s="1"/>
  <c r="I75" i="32"/>
  <c r="I76" i="32"/>
  <c r="I74" i="32"/>
  <c r="Q77" i="32"/>
  <c r="R77" i="32"/>
  <c r="S77" i="32"/>
  <c r="U77" i="32"/>
  <c r="F77" i="32"/>
  <c r="O76" i="32"/>
  <c r="N76" i="32"/>
  <c r="T76" i="32" s="1"/>
  <c r="J76" i="32"/>
  <c r="O75" i="32"/>
  <c r="N75" i="32"/>
  <c r="T75" i="32" s="1"/>
  <c r="J75" i="32"/>
  <c r="O74" i="32"/>
  <c r="N74" i="32"/>
  <c r="T74" i="32" s="1"/>
  <c r="J74" i="32"/>
  <c r="C39" i="32"/>
  <c r="L59" i="32"/>
  <c r="R60" i="32"/>
  <c r="T61" i="33" l="1"/>
  <c r="W15" i="33"/>
  <c r="M75" i="32"/>
  <c r="V75" i="32" s="1"/>
  <c r="J77" i="32"/>
  <c r="T77" i="32"/>
  <c r="O77" i="32"/>
  <c r="M76" i="32"/>
  <c r="V76" i="32" s="1"/>
  <c r="I58" i="32"/>
  <c r="M74" i="32"/>
  <c r="V74" i="32" s="1"/>
  <c r="N77" i="32"/>
  <c r="I77" i="32"/>
  <c r="H77" i="32"/>
  <c r="K77" i="32"/>
  <c r="L58" i="32"/>
  <c r="L64" i="32" s="1"/>
  <c r="J10" i="32"/>
  <c r="J11" i="32"/>
  <c r="J12" i="32"/>
  <c r="J13" i="32"/>
  <c r="N64" i="32"/>
  <c r="O64" i="32"/>
  <c r="Q64" i="32"/>
  <c r="S35" i="32"/>
  <c r="S34" i="32"/>
  <c r="S33" i="32"/>
  <c r="S32" i="32"/>
  <c r="S31" i="32"/>
  <c r="S30" i="32"/>
  <c r="M30" i="32"/>
  <c r="M31" i="32"/>
  <c r="M32" i="32"/>
  <c r="M33" i="32"/>
  <c r="M34" i="32"/>
  <c r="M35" i="32"/>
  <c r="L30" i="32"/>
  <c r="L31" i="32"/>
  <c r="L32" i="32"/>
  <c r="L33" i="32"/>
  <c r="L34" i="32"/>
  <c r="L35" i="32"/>
  <c r="M59" i="32"/>
  <c r="M60" i="32"/>
  <c r="M58" i="32"/>
  <c r="R59" i="32"/>
  <c r="T59" i="32" s="1"/>
  <c r="U59" i="32" s="1"/>
  <c r="J58" i="32"/>
  <c r="K60" i="32"/>
  <c r="T60" i="32" s="1"/>
  <c r="U60" i="32" s="1"/>
  <c r="M64" i="32" l="1"/>
  <c r="I64" i="32"/>
  <c r="K58" i="32"/>
  <c r="J64" i="32"/>
  <c r="V77" i="32"/>
  <c r="M77" i="32"/>
  <c r="G14" i="32" l="1"/>
  <c r="J14" i="32"/>
  <c r="N14" i="32"/>
  <c r="O14" i="32"/>
  <c r="P14" i="32"/>
  <c r="Q14" i="32"/>
  <c r="F14" i="32"/>
  <c r="G36" i="32"/>
  <c r="I36" i="32"/>
  <c r="J36" i="32"/>
  <c r="O36" i="32"/>
  <c r="P36" i="32"/>
  <c r="Q36" i="32"/>
  <c r="S36" i="32"/>
  <c r="F36" i="32"/>
  <c r="S14" i="32" l="1"/>
  <c r="K9" i="32"/>
  <c r="K8" i="32"/>
  <c r="I13" i="32"/>
  <c r="K13" i="32" s="1"/>
  <c r="K12" i="32"/>
  <c r="I11" i="32"/>
  <c r="K11" i="32" s="1"/>
  <c r="I10" i="32"/>
  <c r="K10" i="32" s="1"/>
  <c r="R31" i="32"/>
  <c r="T31" i="32" s="1"/>
  <c r="R29" i="32"/>
  <c r="T29" i="32" s="1"/>
  <c r="R8" i="32"/>
  <c r="R32" i="32"/>
  <c r="T32" i="32" s="1"/>
  <c r="R33" i="32"/>
  <c r="T33" i="32" s="1"/>
  <c r="R34" i="32"/>
  <c r="T34" i="32" s="1"/>
  <c r="R35" i="32"/>
  <c r="T35" i="32" s="1"/>
  <c r="R30" i="32"/>
  <c r="T30" i="32" s="1"/>
  <c r="K36" i="32"/>
  <c r="H36" i="32"/>
  <c r="R13" i="32"/>
  <c r="R12" i="32"/>
  <c r="R11" i="32"/>
  <c r="R10" i="32"/>
  <c r="R9" i="32"/>
  <c r="H14" i="32"/>
  <c r="T12" i="32" l="1"/>
  <c r="T9" i="32"/>
  <c r="T36" i="32"/>
  <c r="T10" i="32"/>
  <c r="T11" i="32"/>
  <c r="T13" i="32"/>
  <c r="T8" i="32"/>
  <c r="R14" i="32"/>
  <c r="I14" i="32"/>
  <c r="K64" i="32"/>
  <c r="K66" i="32" s="1"/>
  <c r="M36" i="32"/>
  <c r="R36" i="32"/>
  <c r="L36" i="32"/>
  <c r="L14" i="32"/>
  <c r="T14" i="32" l="1"/>
  <c r="K14" i="32"/>
  <c r="C470" i="19"/>
  <c r="C474" i="19"/>
  <c r="C473" i="19"/>
  <c r="C472" i="19"/>
  <c r="C471" i="19"/>
  <c r="C471" i="3"/>
  <c r="C474" i="3"/>
  <c r="C473" i="3"/>
  <c r="C472" i="3"/>
  <c r="C470" i="3"/>
  <c r="C481" i="19" l="1"/>
  <c r="D475" i="19"/>
  <c r="D481" i="19" s="1"/>
  <c r="C481" i="3"/>
  <c r="D475" i="3"/>
  <c r="D481" i="3" s="1"/>
  <c r="C422" i="28"/>
  <c r="C420" i="28"/>
  <c r="D483" i="19" l="1"/>
  <c r="D483" i="3"/>
  <c r="C431" i="28"/>
  <c r="D424" i="28"/>
  <c r="C431" i="31"/>
  <c r="D424" i="31"/>
  <c r="D431" i="31" s="1"/>
  <c r="C432" i="29"/>
  <c r="D425" i="29"/>
  <c r="D432" i="29" s="1"/>
  <c r="C431" i="27"/>
  <c r="D424" i="27"/>
  <c r="D431" i="27" s="1"/>
  <c r="C436" i="26"/>
  <c r="D429" i="26"/>
  <c r="D436" i="26" s="1"/>
  <c r="C470" i="25"/>
  <c r="C481" i="25" s="1"/>
  <c r="C431" i="24"/>
  <c r="D424" i="24"/>
  <c r="D431" i="24" s="1"/>
  <c r="C431" i="23"/>
  <c r="D424" i="23"/>
  <c r="D431" i="23" s="1"/>
  <c r="C431" i="22"/>
  <c r="D424" i="22"/>
  <c r="D431" i="22" s="1"/>
  <c r="C431" i="21"/>
  <c r="D424" i="21"/>
  <c r="D431" i="21" s="1"/>
  <c r="C431" i="20"/>
  <c r="D424" i="20"/>
  <c r="D431" i="20" s="1"/>
  <c r="C430" i="19"/>
  <c r="D424" i="19"/>
  <c r="D430" i="19" s="1"/>
  <c r="C430" i="18"/>
  <c r="D424" i="18"/>
  <c r="D430" i="18" s="1"/>
  <c r="C430" i="17"/>
  <c r="D424" i="17"/>
  <c r="D430" i="17" s="1"/>
  <c r="C426" i="16"/>
  <c r="D420" i="16"/>
  <c r="D426" i="16" s="1"/>
  <c r="D432" i="19" l="1"/>
  <c r="D433" i="21"/>
  <c r="D434" i="29"/>
  <c r="D432" i="17"/>
  <c r="D431" i="28"/>
  <c r="F423" i="28"/>
  <c r="D433" i="28"/>
  <c r="D433" i="31"/>
  <c r="D433" i="27"/>
  <c r="D438" i="26"/>
  <c r="D474" i="25"/>
  <c r="D481" i="25" s="1"/>
  <c r="D483" i="25" s="1"/>
  <c r="D433" i="24"/>
  <c r="D433" i="23"/>
  <c r="D433" i="22"/>
  <c r="D433" i="20"/>
  <c r="D432" i="18"/>
  <c r="D428" i="16"/>
  <c r="C425" i="15" l="1"/>
  <c r="D419" i="15"/>
  <c r="D425" i="15" s="1"/>
  <c r="D427" i="15" l="1"/>
  <c r="C430" i="3" l="1"/>
  <c r="D424" i="3"/>
  <c r="D430" i="3" s="1"/>
  <c r="D432" i="3" s="1"/>
  <c r="C373" i="31" l="1"/>
  <c r="C381" i="31"/>
  <c r="D374" i="31"/>
  <c r="D381" i="31" s="1"/>
  <c r="D383" i="31" s="1"/>
  <c r="C373" i="29"/>
  <c r="C381" i="29" s="1"/>
  <c r="D374" i="29"/>
  <c r="D381" i="29" s="1"/>
  <c r="C373" i="28"/>
  <c r="C381" i="28" s="1"/>
  <c r="D374" i="28"/>
  <c r="D381" i="28" s="1"/>
  <c r="C373" i="27"/>
  <c r="C381" i="27" s="1"/>
  <c r="D374" i="27"/>
  <c r="D381" i="27" s="1"/>
  <c r="C378" i="26"/>
  <c r="C386" i="26"/>
  <c r="D379" i="26"/>
  <c r="D386" i="26" s="1"/>
  <c r="C423" i="25"/>
  <c r="C431" i="25"/>
  <c r="D424" i="25"/>
  <c r="D431" i="25" s="1"/>
  <c r="C373" i="24"/>
  <c r="C381" i="24" s="1"/>
  <c r="D374" i="24"/>
  <c r="D381" i="24" s="1"/>
  <c r="C373" i="23"/>
  <c r="C381" i="23"/>
  <c r="D374" i="23"/>
  <c r="D381" i="23" s="1"/>
  <c r="C373" i="22"/>
  <c r="C381" i="22" s="1"/>
  <c r="D374" i="22"/>
  <c r="D381" i="22" s="1"/>
  <c r="C373" i="21"/>
  <c r="C381" i="21" s="1"/>
  <c r="D374" i="21"/>
  <c r="D381" i="21" s="1"/>
  <c r="C373" i="20"/>
  <c r="C381" i="20" s="1"/>
  <c r="D374" i="20"/>
  <c r="D381" i="20" s="1"/>
  <c r="C373" i="19"/>
  <c r="C380" i="19" s="1"/>
  <c r="D374" i="19"/>
  <c r="D380" i="19" s="1"/>
  <c r="C373" i="18"/>
  <c r="C380" i="18" s="1"/>
  <c r="D374" i="18"/>
  <c r="D380" i="18" s="1"/>
  <c r="C373" i="17"/>
  <c r="C380" i="17"/>
  <c r="D374" i="17"/>
  <c r="D380" i="17" s="1"/>
  <c r="C368" i="16"/>
  <c r="C375" i="16" s="1"/>
  <c r="D369" i="16"/>
  <c r="D375" i="16" s="1"/>
  <c r="C368" i="15"/>
  <c r="C375" i="15" s="1"/>
  <c r="D369" i="15"/>
  <c r="D375" i="15" s="1"/>
  <c r="C373" i="3"/>
  <c r="D377" i="16" l="1"/>
  <c r="D383" i="29"/>
  <c r="D383" i="28"/>
  <c r="D383" i="27"/>
  <c r="D388" i="26"/>
  <c r="D433" i="25"/>
  <c r="D383" i="24"/>
  <c r="D383" i="23"/>
  <c r="D383" i="22"/>
  <c r="D383" i="21"/>
  <c r="D383" i="20"/>
  <c r="D382" i="19"/>
  <c r="D382" i="18"/>
  <c r="D382" i="17"/>
  <c r="D377" i="15"/>
  <c r="C380" i="3" l="1"/>
  <c r="D374" i="3"/>
  <c r="D380" i="3" s="1"/>
  <c r="D382" i="3" l="1"/>
  <c r="C331" i="31"/>
  <c r="D324" i="31"/>
  <c r="D331" i="31" s="1"/>
  <c r="C331" i="29"/>
  <c r="D324" i="29"/>
  <c r="D331" i="29" s="1"/>
  <c r="C320" i="28"/>
  <c r="C331" i="28" s="1"/>
  <c r="C331" i="27"/>
  <c r="D324" i="27"/>
  <c r="D331" i="27" s="1"/>
  <c r="C336" i="26"/>
  <c r="D329" i="26"/>
  <c r="D336" i="26" s="1"/>
  <c r="D338" i="26" s="1"/>
  <c r="C370" i="25"/>
  <c r="C381" i="25" s="1"/>
  <c r="C331" i="24"/>
  <c r="D324" i="24"/>
  <c r="D331" i="24" s="1"/>
  <c r="C331" i="23"/>
  <c r="D324" i="23"/>
  <c r="D331" i="23" s="1"/>
  <c r="D333" i="23" s="1"/>
  <c r="C331" i="22"/>
  <c r="D324" i="22"/>
  <c r="D331" i="22" s="1"/>
  <c r="C331" i="21"/>
  <c r="D324" i="21"/>
  <c r="D331" i="21" s="1"/>
  <c r="C331" i="20"/>
  <c r="D324" i="20"/>
  <c r="D331" i="20" s="1"/>
  <c r="C330" i="19"/>
  <c r="D324" i="19"/>
  <c r="D330" i="19" s="1"/>
  <c r="C330" i="18"/>
  <c r="D324" i="18"/>
  <c r="D330" i="18" s="1"/>
  <c r="C330" i="17"/>
  <c r="D324" i="17"/>
  <c r="D330" i="17" s="1"/>
  <c r="C325" i="16"/>
  <c r="D319" i="16"/>
  <c r="D325" i="16" s="1"/>
  <c r="D327" i="16" l="1"/>
  <c r="D333" i="29"/>
  <c r="D333" i="31"/>
  <c r="D324" i="28"/>
  <c r="D331" i="28" s="1"/>
  <c r="D333" i="28" s="1"/>
  <c r="D333" i="27"/>
  <c r="D374" i="25"/>
  <c r="D381" i="25" s="1"/>
  <c r="D383" i="25" s="1"/>
  <c r="D333" i="24"/>
  <c r="D333" i="22"/>
  <c r="D333" i="21"/>
  <c r="D333" i="20"/>
  <c r="D332" i="19"/>
  <c r="D332" i="18"/>
  <c r="D332" i="17"/>
  <c r="C325" i="15" l="1"/>
  <c r="D319" i="15"/>
  <c r="D325" i="15" s="1"/>
  <c r="C330" i="3"/>
  <c r="D324" i="3"/>
  <c r="D330" i="3" s="1"/>
  <c r="D327" i="15" l="1"/>
  <c r="D332" i="3"/>
  <c r="C321" i="25" l="1"/>
  <c r="C323" i="25"/>
  <c r="C322" i="25"/>
  <c r="C320" i="25"/>
  <c r="D324" i="25" s="1"/>
  <c r="D331" i="25" s="1"/>
  <c r="C331" i="25" l="1"/>
  <c r="D333" i="25" s="1"/>
  <c r="C273" i="28" l="1"/>
  <c r="C272" i="28"/>
  <c r="C271" i="28" l="1"/>
  <c r="C270" i="28"/>
  <c r="C281" i="31" l="1"/>
  <c r="D274" i="31"/>
  <c r="D281" i="31" s="1"/>
  <c r="C281" i="29"/>
  <c r="D274" i="29"/>
  <c r="D281" i="29" s="1"/>
  <c r="C281" i="28"/>
  <c r="D274" i="28"/>
  <c r="D281" i="28" s="1"/>
  <c r="C281" i="27"/>
  <c r="D274" i="27"/>
  <c r="D281" i="27" s="1"/>
  <c r="C286" i="26"/>
  <c r="D279" i="26"/>
  <c r="D286" i="26" s="1"/>
  <c r="C281" i="25"/>
  <c r="D274" i="25"/>
  <c r="D281" i="25" s="1"/>
  <c r="C281" i="24"/>
  <c r="D274" i="24"/>
  <c r="D281" i="24" s="1"/>
  <c r="C281" i="23"/>
  <c r="D274" i="23"/>
  <c r="D281" i="23" s="1"/>
  <c r="C281" i="22"/>
  <c r="D274" i="22"/>
  <c r="D281" i="22" s="1"/>
  <c r="C281" i="21"/>
  <c r="D274" i="21"/>
  <c r="D281" i="21" s="1"/>
  <c r="C281" i="20"/>
  <c r="D274" i="20"/>
  <c r="D281" i="20" s="1"/>
  <c r="D283" i="20" s="1"/>
  <c r="C280" i="19"/>
  <c r="D274" i="19"/>
  <c r="D280" i="19" s="1"/>
  <c r="D282" i="19" l="1"/>
  <c r="D283" i="29"/>
  <c r="D283" i="31"/>
  <c r="D283" i="22"/>
  <c r="D283" i="21"/>
  <c r="D288" i="26"/>
  <c r="D283" i="23"/>
  <c r="D283" i="28"/>
  <c r="D283" i="27"/>
  <c r="D283" i="25"/>
  <c r="D283" i="24"/>
  <c r="C280" i="18" l="1"/>
  <c r="D274" i="18"/>
  <c r="D280" i="18" s="1"/>
  <c r="C280" i="17"/>
  <c r="D274" i="17"/>
  <c r="D280" i="17" s="1"/>
  <c r="C275" i="16"/>
  <c r="D269" i="16"/>
  <c r="D275" i="16" s="1"/>
  <c r="C275" i="15"/>
  <c r="D269" i="15"/>
  <c r="D275" i="15" s="1"/>
  <c r="C280" i="3"/>
  <c r="D274" i="3"/>
  <c r="D280" i="3" s="1"/>
  <c r="D277" i="16" l="1"/>
  <c r="D282" i="18"/>
  <c r="D282" i="17"/>
  <c r="D277" i="15"/>
  <c r="D282" i="3"/>
  <c r="C231" i="31" l="1"/>
  <c r="D224" i="31"/>
  <c r="D231" i="31" s="1"/>
  <c r="C231" i="29"/>
  <c r="D224" i="29"/>
  <c r="D231" i="29" s="1"/>
  <c r="D233" i="29" s="1"/>
  <c r="C231" i="28"/>
  <c r="D224" i="28"/>
  <c r="D231" i="28" s="1"/>
  <c r="D233" i="28" s="1"/>
  <c r="C231" i="27"/>
  <c r="D224" i="27"/>
  <c r="D231" i="27" s="1"/>
  <c r="C236" i="26"/>
  <c r="D229" i="26"/>
  <c r="D236" i="26" s="1"/>
  <c r="C231" i="25"/>
  <c r="D224" i="25"/>
  <c r="D231" i="25" s="1"/>
  <c r="C231" i="24"/>
  <c r="D224" i="24"/>
  <c r="D231" i="24" s="1"/>
  <c r="C231" i="23"/>
  <c r="D224" i="23"/>
  <c r="D231" i="23" s="1"/>
  <c r="C231" i="22"/>
  <c r="D224" i="22"/>
  <c r="D231" i="22" s="1"/>
  <c r="C231" i="21"/>
  <c r="D224" i="21"/>
  <c r="D231" i="21" s="1"/>
  <c r="D233" i="21" s="1"/>
  <c r="C231" i="20"/>
  <c r="D224" i="20"/>
  <c r="D231" i="20" s="1"/>
  <c r="C230" i="19"/>
  <c r="D224" i="19"/>
  <c r="D230" i="19" s="1"/>
  <c r="C230" i="18"/>
  <c r="D224" i="18"/>
  <c r="D230" i="18" s="1"/>
  <c r="C230" i="17"/>
  <c r="D224" i="17"/>
  <c r="D230" i="17" s="1"/>
  <c r="C225" i="16"/>
  <c r="D219" i="16"/>
  <c r="D225" i="16" s="1"/>
  <c r="D227" i="16" s="1"/>
  <c r="C225" i="15"/>
  <c r="D219" i="15"/>
  <c r="D225" i="15" s="1"/>
  <c r="D227" i="15" s="1"/>
  <c r="D232" i="19" l="1"/>
  <c r="D238" i="26"/>
  <c r="D233" i="22"/>
  <c r="D232" i="17"/>
  <c r="D233" i="31"/>
  <c r="D233" i="23"/>
  <c r="D233" i="27"/>
  <c r="D233" i="25"/>
  <c r="D233" i="24"/>
  <c r="D233" i="20"/>
  <c r="D232" i="18"/>
  <c r="C230" i="3" l="1"/>
  <c r="D224" i="3"/>
  <c r="D230" i="3" s="1"/>
  <c r="D232" i="3" s="1"/>
  <c r="G18" i="23" l="1"/>
  <c r="C181" i="31" l="1"/>
  <c r="D174" i="31"/>
  <c r="D181" i="31" s="1"/>
  <c r="C181" i="29"/>
  <c r="D174" i="29"/>
  <c r="D181" i="29" s="1"/>
  <c r="C181" i="28"/>
  <c r="D174" i="28"/>
  <c r="D181" i="28" s="1"/>
  <c r="C181" i="27"/>
  <c r="D174" i="27"/>
  <c r="D181" i="27" s="1"/>
  <c r="D183" i="27" s="1"/>
  <c r="C186" i="26"/>
  <c r="D179" i="26"/>
  <c r="D186" i="26" s="1"/>
  <c r="C181" i="25"/>
  <c r="D174" i="25"/>
  <c r="D181" i="25" s="1"/>
  <c r="C181" i="24"/>
  <c r="D174" i="24"/>
  <c r="D181" i="24" s="1"/>
  <c r="C181" i="23"/>
  <c r="D174" i="23"/>
  <c r="D181" i="23" s="1"/>
  <c r="C181" i="22"/>
  <c r="D174" i="22"/>
  <c r="D181" i="22" s="1"/>
  <c r="C181" i="21"/>
  <c r="D174" i="21"/>
  <c r="D181" i="21" s="1"/>
  <c r="D183" i="21" s="1"/>
  <c r="C181" i="20"/>
  <c r="D174" i="20"/>
  <c r="D181" i="20" s="1"/>
  <c r="C180" i="19"/>
  <c r="D174" i="19"/>
  <c r="D180" i="19" s="1"/>
  <c r="C180" i="18"/>
  <c r="D174" i="18"/>
  <c r="D180" i="18" s="1"/>
  <c r="C180" i="17"/>
  <c r="D174" i="17"/>
  <c r="D180" i="17" s="1"/>
  <c r="C175" i="16"/>
  <c r="D169" i="16"/>
  <c r="D175" i="16" s="1"/>
  <c r="D177" i="16" s="1"/>
  <c r="C175" i="15"/>
  <c r="D169" i="15"/>
  <c r="D175" i="15" s="1"/>
  <c r="C180" i="3"/>
  <c r="D174" i="3"/>
  <c r="D180" i="3" s="1"/>
  <c r="D182" i="3" s="1"/>
  <c r="D182" i="19" l="1"/>
  <c r="D188" i="26"/>
  <c r="D177" i="15"/>
  <c r="D183" i="25"/>
  <c r="D183" i="23"/>
  <c r="D183" i="31"/>
  <c r="D183" i="29"/>
  <c r="D183" i="28"/>
  <c r="D183" i="24"/>
  <c r="D183" i="22"/>
  <c r="D183" i="20"/>
  <c r="D182" i="18"/>
  <c r="D182" i="17"/>
  <c r="E18" i="27" l="1"/>
  <c r="G17" i="27"/>
  <c r="E18" i="26"/>
  <c r="F18" i="26" s="1"/>
  <c r="G17" i="26"/>
  <c r="E124" i="24"/>
  <c r="F124" i="24" s="1"/>
  <c r="G123" i="24"/>
  <c r="G18" i="27" l="1"/>
  <c r="G18" i="26"/>
  <c r="F18" i="27"/>
  <c r="G124" i="24"/>
  <c r="E19" i="23" l="1"/>
  <c r="F19" i="23" s="1"/>
  <c r="G19" i="23" l="1"/>
  <c r="C131" i="31"/>
  <c r="D124" i="31"/>
  <c r="D131" i="31" s="1"/>
  <c r="C131" i="29"/>
  <c r="D124" i="29"/>
  <c r="D131" i="29" s="1"/>
  <c r="C131" i="28"/>
  <c r="D124" i="28"/>
  <c r="D131" i="28" s="1"/>
  <c r="C131" i="27"/>
  <c r="D124" i="27"/>
  <c r="D131" i="27" s="1"/>
  <c r="C136" i="26"/>
  <c r="D129" i="26"/>
  <c r="D136" i="26" s="1"/>
  <c r="D138" i="26" s="1"/>
  <c r="C131" i="25"/>
  <c r="D124" i="25"/>
  <c r="D131" i="25" s="1"/>
  <c r="C131" i="24"/>
  <c r="D124" i="24"/>
  <c r="D131" i="24" s="1"/>
  <c r="C131" i="23"/>
  <c r="D124" i="23"/>
  <c r="D131" i="23" s="1"/>
  <c r="C131" i="22"/>
  <c r="D124" i="22"/>
  <c r="D131" i="22" s="1"/>
  <c r="C131" i="21"/>
  <c r="D124" i="21"/>
  <c r="D131" i="21" s="1"/>
  <c r="C131" i="20"/>
  <c r="D124" i="20"/>
  <c r="D131" i="20" s="1"/>
  <c r="C130" i="18"/>
  <c r="D124" i="18"/>
  <c r="D130" i="18" s="1"/>
  <c r="C130" i="17"/>
  <c r="D124" i="17"/>
  <c r="D130" i="17" s="1"/>
  <c r="C125" i="16"/>
  <c r="D119" i="16"/>
  <c r="D125" i="16" s="1"/>
  <c r="D133" i="23" l="1"/>
  <c r="D133" i="20"/>
  <c r="D132" i="17"/>
  <c r="D132" i="18"/>
  <c r="D133" i="31"/>
  <c r="D133" i="29"/>
  <c r="D133" i="28"/>
  <c r="D133" i="27"/>
  <c r="D133" i="25"/>
  <c r="D133" i="24"/>
  <c r="D133" i="22"/>
  <c r="D133" i="21"/>
  <c r="D127" i="16"/>
  <c r="C125" i="15" l="1"/>
  <c r="D119" i="15"/>
  <c r="D125" i="15" s="1"/>
  <c r="C130" i="3"/>
  <c r="D124" i="3"/>
  <c r="D130" i="3" s="1"/>
  <c r="D127" i="15" l="1"/>
  <c r="D132" i="3"/>
  <c r="C130" i="19" l="1"/>
  <c r="D124" i="19"/>
  <c r="D130" i="19" s="1"/>
  <c r="D132" i="19" s="1"/>
  <c r="C79" i="31" l="1"/>
  <c r="D72" i="31"/>
  <c r="D79" i="31" s="1"/>
  <c r="C80" i="29"/>
  <c r="D73" i="29"/>
  <c r="D80" i="29" s="1"/>
  <c r="D82" i="29" s="1"/>
  <c r="C80" i="28"/>
  <c r="D73" i="28"/>
  <c r="D80" i="28" s="1"/>
  <c r="C81" i="27"/>
  <c r="D74" i="27"/>
  <c r="D81" i="27" s="1"/>
  <c r="D83" i="27" s="1"/>
  <c r="C81" i="26"/>
  <c r="D74" i="26"/>
  <c r="D81" i="26" s="1"/>
  <c r="C81" i="25"/>
  <c r="C81" i="24"/>
  <c r="D74" i="24"/>
  <c r="D81" i="24" s="1"/>
  <c r="C79" i="23"/>
  <c r="D72" i="23"/>
  <c r="D79" i="23" s="1"/>
  <c r="D81" i="23" s="1"/>
  <c r="C79" i="22"/>
  <c r="D72" i="22"/>
  <c r="D79" i="22" s="1"/>
  <c r="C81" i="21"/>
  <c r="D74" i="21"/>
  <c r="D81" i="21" s="1"/>
  <c r="D83" i="21" s="1"/>
  <c r="C81" i="20"/>
  <c r="D74" i="20"/>
  <c r="D81" i="20" s="1"/>
  <c r="C77" i="19"/>
  <c r="D71" i="19"/>
  <c r="D77" i="19" s="1"/>
  <c r="C80" i="18"/>
  <c r="D74" i="18"/>
  <c r="D80" i="18" s="1"/>
  <c r="D81" i="22" l="1"/>
  <c r="D82" i="18"/>
  <c r="D83" i="24"/>
  <c r="D82" i="28"/>
  <c r="D83" i="20"/>
  <c r="D81" i="31"/>
  <c r="D83" i="26"/>
  <c r="D74" i="25"/>
  <c r="D81" i="25" s="1"/>
  <c r="D83" i="25" s="1"/>
  <c r="D79" i="19"/>
  <c r="C80" i="17" l="1"/>
  <c r="D74" i="17"/>
  <c r="D80" i="17" s="1"/>
  <c r="D82" i="17" s="1"/>
  <c r="C75" i="16"/>
  <c r="D69" i="16"/>
  <c r="D75" i="16" s="1"/>
  <c r="C75" i="15"/>
  <c r="D69" i="15"/>
  <c r="D75" i="15" s="1"/>
  <c r="D77" i="15" s="1"/>
  <c r="C80" i="3"/>
  <c r="D74" i="3"/>
  <c r="D80" i="3" s="1"/>
  <c r="D82" i="3" l="1"/>
  <c r="D77" i="16"/>
  <c r="D21" i="27"/>
  <c r="D21" i="26"/>
  <c r="C17" i="25"/>
  <c r="F17" i="25" s="1"/>
  <c r="D21" i="24"/>
  <c r="D21" i="23"/>
  <c r="D21" i="16" l="1"/>
  <c r="D27" i="16" s="1"/>
  <c r="C27" i="16"/>
  <c r="D29" i="16" l="1"/>
  <c r="C28" i="31"/>
  <c r="D21" i="31"/>
  <c r="D28" i="31" s="1"/>
  <c r="D30" i="31" l="1"/>
  <c r="C28" i="29" l="1"/>
  <c r="D21" i="29"/>
  <c r="D28" i="29" s="1"/>
  <c r="C28" i="28"/>
  <c r="D21" i="28"/>
  <c r="D28" i="28" s="1"/>
  <c r="C28" i="27"/>
  <c r="D28" i="27"/>
  <c r="C28" i="26"/>
  <c r="D28" i="26"/>
  <c r="C28" i="24"/>
  <c r="D28" i="24"/>
  <c r="C28" i="23"/>
  <c r="D28" i="23"/>
  <c r="C28" i="22"/>
  <c r="D21" i="22"/>
  <c r="D28" i="22" s="1"/>
  <c r="C28" i="21"/>
  <c r="D21" i="21"/>
  <c r="D28" i="21" s="1"/>
  <c r="C28" i="20"/>
  <c r="D21" i="20"/>
  <c r="D28" i="20" s="1"/>
  <c r="D30" i="22" l="1"/>
  <c r="D30" i="26"/>
  <c r="D30" i="20"/>
  <c r="D30" i="29"/>
  <c r="D30" i="28"/>
  <c r="D30" i="27"/>
  <c r="D30" i="24"/>
  <c r="D30" i="23"/>
  <c r="D30" i="21"/>
  <c r="C28" i="19" l="1"/>
  <c r="D22" i="19"/>
  <c r="D28" i="19" s="1"/>
  <c r="C28" i="18"/>
  <c r="D22" i="18"/>
  <c r="D28" i="18" s="1"/>
  <c r="C28" i="17"/>
  <c r="D22" i="17"/>
  <c r="D28" i="17" s="1"/>
  <c r="C27" i="15"/>
  <c r="D21" i="15"/>
  <c r="D27" i="15" s="1"/>
  <c r="D30" i="19" l="1"/>
  <c r="D30" i="18"/>
  <c r="D30" i="17"/>
  <c r="D29" i="15"/>
  <c r="C28" i="3" l="1"/>
  <c r="D22" i="3"/>
  <c r="D28" i="3" s="1"/>
  <c r="D30" i="3" l="1"/>
  <c r="C28" i="25" l="1"/>
  <c r="D21" i="25"/>
  <c r="D28" i="25" s="1"/>
  <c r="D30" i="25" l="1"/>
  <c r="S64" i="32" l="1"/>
  <c r="P64" i="32"/>
  <c r="R58" i="32"/>
  <c r="T58" i="32" s="1"/>
  <c r="T64" i="32" l="1"/>
  <c r="U18" i="32" s="1"/>
  <c r="R64" i="32"/>
</calcChain>
</file>

<file path=xl/comments1.xml><?xml version="1.0" encoding="utf-8"?>
<comments xmlns="http://schemas.openxmlformats.org/spreadsheetml/2006/main">
  <authors>
    <author>User</author>
  </authors>
  <commentList>
    <comment ref="S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hacer un informe xq no se pago el completo
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1416/9 va el segundo mes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1698/6 
va por el 5to falta 1 mes mas
</t>
        </r>
      </text>
    </comment>
    <comment ref="S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1752/6 va el 5to des, falta 1 mes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1581/7 va por el 4to desc. Falta 3</t>
        </r>
      </text>
    </comment>
    <comment ref="S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1500/6  va por el 5to desc. Falta ultimo
CONTABILI 
797,07/3 265,69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1698/10  va por el 3er desc, falta 7 mas</t>
        </r>
      </text>
    </comment>
    <comment ref="S5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tiene 2 anticipos de 1132 de uno ya termino este mes del otro falta por empezar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S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EL VALOR DE 382.86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SOLO ESTE MES JUNIO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JUNIO, JULIO Y AGOSTOS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229.71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1416/9 va el segundo mes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1698/6 
va por el 5to falta 1 mes mas
</t>
        </r>
      </text>
    </comment>
    <comment ref="S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1752/6 va el 5to des, falta 1 mes
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1581/7 va por el 4to desc. Falta 3</t>
        </r>
      </text>
    </comment>
    <comment ref="S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1500/6  va por el 5to desc. Falta ultimo
CONTABILI 
797,07/3 265,69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1698/10  va por el 3er desc, falta 7 mas</t>
        </r>
      </text>
    </comment>
    <comment ref="S5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tiene 2 anticipos de 1132 de uno ya termino este mes del otro falta por empezar
1132/6 188.67</t>
        </r>
      </text>
    </comment>
  </commentList>
</comments>
</file>

<file path=xl/comments3.xml><?xml version="1.0" encoding="utf-8"?>
<comments xmlns="http://schemas.openxmlformats.org/spreadsheetml/2006/main">
  <authors>
    <author>User</author>
    <author>USER</author>
  </authors>
  <commentList>
    <comment ref="S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EL VALOR DE 382.86</t>
        </r>
      </text>
    </comment>
    <comment ref="P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SOLO ESTE MES JUNIO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JUNIO, JULIO Y AGOSTOS</t>
        </r>
      </text>
    </comment>
    <comment ref="S10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229.71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DESC. POR ATRASO DE 1 DIA DE DECLARACION DEL MES DE MAYO Q SE REALIZO EL JUNIO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1416/9 va el segundo mes</t>
        </r>
      </text>
    </comment>
    <comment ref="O3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TENIA QUE DESCONTAR SOLO 90.57
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1698/6 
ANTICIPO HASTA DICIEMBRE 2023
</t>
        </r>
      </text>
    </comment>
    <comment ref="O32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TENIA QUE DESCONTAR DEL PRESTAMO
35.21
</t>
        </r>
      </text>
    </comment>
    <comment ref="S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1752/6 HASTA DICIEMBRE 2023
segunda letra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1581/7 va por el 6to desc. Falta 1 TERMINA EN AGOSTO</t>
        </r>
      </text>
    </comment>
    <comment ref="S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 ESTADO PENDIENTE UN DESCUENTO DE 250 AUN PERO SOLO HE DESCONTADO 46.10 FALTA 203.90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1698/10  va por el 3er desc, falta 7 mas</t>
        </r>
      </text>
    </comment>
    <comment ref="S5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termino este mes del otro falta por empezar
1132/6 188.67</t>
        </r>
      </text>
    </comment>
  </commentList>
</comments>
</file>

<file path=xl/comments4.xml><?xml version="1.0" encoding="utf-8"?>
<comments xmlns="http://schemas.openxmlformats.org/spreadsheetml/2006/main">
  <authors>
    <author>User</author>
    <author>USER</author>
  </authors>
  <commentList>
    <comment ref="S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EL VALOR DE 382.86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JUNIO, JULIO Y AGOSTOS</t>
        </r>
      </text>
    </comment>
    <comment ref="S10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229.71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1416/9 hasta diciembre 2023</t>
        </r>
      </text>
    </comment>
    <comment ref="O3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TENIA QUE DESCONTAR SOLO 90.57
descontado mas 1,45 este mes se compenza x eso se descuenta menos
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1698/6 
ANTICIPO HASTA DICIEMBRE 2023
</t>
        </r>
      </text>
    </comment>
    <comment ref="O32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TENIA QUE DESCONTAR DEL PRESTAMO
35.21
y ahora en agosto se descuenta de 2 meses
</t>
        </r>
      </text>
    </comment>
    <comment ref="Q32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se descuenta el .34 centavo restante de julio
</t>
        </r>
      </text>
    </comment>
    <comment ref="S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1752/6 HASTA DICIEMBRE 2023
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1581/7 va por el 6to desc. Falta 1 TERMINA EN AGOSTO</t>
        </r>
      </text>
    </comment>
    <comment ref="O3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primera letra de prestamo</t>
        </r>
      </text>
    </comment>
    <comment ref="S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 ESTADO PENDIENTE UN DESCUENTO DE 250 AUN PERO SOLO HE DESCONTADO 46.10 FALTA 203.90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1698/10  va por el 3er desc, termina en diciembre 2023
</t>
        </r>
      </text>
    </comment>
    <comment ref="S59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 decimo 3ero proporcional de mayo
</t>
        </r>
      </text>
    </comment>
  </commentList>
</comments>
</file>

<file path=xl/comments5.xml><?xml version="1.0" encoding="utf-8"?>
<comments xmlns="http://schemas.openxmlformats.org/spreadsheetml/2006/main">
  <authors>
    <author>User</author>
    <author>USER</author>
  </authors>
  <commentList>
    <comment ref="S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EL VALOR DE 382.86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JUNIO, JULIO Y AGOSTOS</t>
        </r>
      </text>
    </comment>
    <comment ref="S10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229.71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1416/9 hasta diciembre 2023</t>
        </r>
      </text>
    </comment>
    <comment ref="O3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TENIA QUE DESCONTAR SOLO 90.57
descontado mas 1,45 este mes se compenza x eso se descuenta menos
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1698/6 
ANTICIPO HASTA DICIEMBRE 2023
</t>
        </r>
      </text>
    </comment>
    <comment ref="O32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TENIA QUE DESCONTAR DEL PRESTAMO
35.21
y ahora en agosto se descuenta de 2 meses
</t>
        </r>
      </text>
    </comment>
    <comment ref="Q32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se descuen del decimo y septiembre  </t>
        </r>
      </text>
    </comment>
    <comment ref="S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1752/6 HASTA DICIEMBRE 2023
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1581/7 va por el 6to desc. Falta 1 TERMINA EN AGOSTO</t>
        </r>
      </text>
    </comment>
    <comment ref="O3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primera letra de prestamo</t>
        </r>
      </text>
    </comment>
    <comment ref="S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 ESTADO PENDIENTE UN DESCUENTO DE 250 AUN PERO SOLO HE DESCONTADO 46.10 FALTA 203.90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1698/10  va por el 3er desc, termina en diciembre 2023
</t>
        </r>
      </text>
    </comment>
    <comment ref="S6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 decimo 3ero proporcional de mayo
</t>
        </r>
      </text>
    </comment>
  </commentList>
</comments>
</file>

<file path=xl/comments6.xml><?xml version="1.0" encoding="utf-8"?>
<comments xmlns="http://schemas.openxmlformats.org/spreadsheetml/2006/main">
  <authors>
    <author>User</author>
    <author>USER</author>
  </authors>
  <commentList>
    <comment ref="S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EL VALOR DE 382.86</t>
        </r>
      </text>
    </comment>
    <comment ref="P9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147 VA CANCELAR A LA MISMA SEÑORA</t>
        </r>
      </text>
    </comment>
    <comment ref="S9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536/3 HASTA DICIEMBRE
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JUNIO, JULIO Y AGOSTOS</t>
        </r>
      </text>
    </comment>
    <comment ref="S10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229.71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1416/9 hasta diciembre 2023</t>
        </r>
      </text>
    </comment>
    <comment ref="O3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TENIA QUE DESCONTAR 
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1698/6 
ANTICIPO HASTA DICIEMBRE 2023
</t>
        </r>
      </text>
    </comment>
    <comment ref="O32" authorId="1" shapeId="0">
      <text>
        <r>
          <rPr>
            <b/>
            <sz val="9"/>
            <color indexed="81"/>
            <rFont val="Tahoma"/>
            <family val="2"/>
          </rPr>
          <t>de octubre</t>
        </r>
      </text>
    </comment>
    <comment ref="Q32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mes octubre</t>
        </r>
      </text>
    </comment>
    <comment ref="S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1752/6 HASTA DICIEMBRE 2023
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1581/7 va por el 6to desc. Falta 1 TERMINA EN AGOSTO</t>
        </r>
      </text>
    </comment>
    <comment ref="O3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primera letra de prestamo</t>
        </r>
      </text>
    </comment>
    <comment ref="S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1000/4 HASTA DICIEMBRE 2023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1698/10  va por el 3er desc, termina en diciembre 2023
</t>
        </r>
      </text>
    </comment>
    <comment ref="S60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PAGO COMPLETO EN JULIO
</t>
        </r>
      </text>
    </comment>
    <comment ref="S6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 decimo 3ero proporcional de mayo
</t>
        </r>
      </text>
    </comment>
  </commentList>
</comments>
</file>

<file path=xl/comments7.xml><?xml version="1.0" encoding="utf-8"?>
<comments xmlns="http://schemas.openxmlformats.org/spreadsheetml/2006/main">
  <authors>
    <author>User</author>
    <author>USER</author>
  </authors>
  <commentList>
    <comment ref="S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EL VALOR DE 382.86</t>
        </r>
      </text>
    </comment>
    <comment ref="P9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147 VA CANCELAR A LA MISMA SEÑORA</t>
        </r>
      </text>
    </comment>
    <comment ref="S9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536/3 HASTA DICIEMBRE
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JUNIO, JULIO Y AGOSTOS</t>
        </r>
      </text>
    </comment>
    <comment ref="S10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229.71</t>
        </r>
      </text>
    </comment>
    <comment ref="S29" authorId="1" shapeId="0">
      <text>
        <r>
          <rPr>
            <b/>
            <sz val="9"/>
            <color indexed="81"/>
            <rFont val="Tahoma"/>
            <family val="2"/>
          </rPr>
          <t xml:space="preserve">USE2 de 250 termina en diciembre2023
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1416/9 hasta diciembre 2023</t>
        </r>
      </text>
    </comment>
    <comment ref="O3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TENIA QUE DESCONTAR 
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1698/6 
ANTICIPO HASTA DICIEMBRE 2023
</t>
        </r>
      </text>
    </comment>
    <comment ref="O32" authorId="1" shapeId="0">
      <text>
        <r>
          <rPr>
            <b/>
            <sz val="9"/>
            <color indexed="81"/>
            <rFont val="Tahoma"/>
            <family val="2"/>
          </rPr>
          <t>de octubre</t>
        </r>
      </text>
    </comment>
    <comment ref="Q32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mes octubre</t>
        </r>
      </text>
    </comment>
    <comment ref="S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1752/6 HASTA DICIEMBRE 2023
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1581/7 va por el 6to desc. Falta 1 TERMINA EN AGOSTO</t>
        </r>
      </text>
    </comment>
    <comment ref="O3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primera letra de prestamo</t>
        </r>
      </text>
    </comment>
    <comment ref="S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1000/4 HASTA DICIEMBRE 2023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1698/10  va por el 3er desc, termina en diciembre 2023
</t>
        </r>
      </text>
    </comment>
    <comment ref="S60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PAGO COMPLETO EN JULIO
</t>
        </r>
      </text>
    </comment>
    <comment ref="S6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 decimo 3ero proporcional de mayo
</t>
        </r>
      </text>
    </comment>
  </commentList>
</comments>
</file>

<file path=xl/comments8.xml><?xml version="1.0" encoding="utf-8"?>
<comments xmlns="http://schemas.openxmlformats.org/spreadsheetml/2006/main">
  <authors>
    <author>User</author>
    <author>USER</author>
  </authors>
  <commentList>
    <comment ref="S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EL VALOR DE 382.86</t>
        </r>
      </text>
    </comment>
    <comment ref="P9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147 VA CANCELAR A LA MISMA SEÑORA</t>
        </r>
      </text>
    </comment>
    <comment ref="S9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536/3 HASTA DICIEMBRE
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JUNIO, JULIO Y AGOSTOS</t>
        </r>
      </text>
    </comment>
    <comment ref="S10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
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HASTA DICIEMBRE 229.71</t>
        </r>
      </text>
    </comment>
    <comment ref="S29" authorId="1" shapeId="0">
      <text>
        <r>
          <rPr>
            <b/>
            <sz val="9"/>
            <color indexed="81"/>
            <rFont val="Tahoma"/>
            <family val="2"/>
          </rPr>
          <t xml:space="preserve">USE2 de 250 termina en diciembre2023
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1416/9 hasta diciembre 2023</t>
        </r>
      </text>
    </comment>
    <comment ref="O3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TENIA QUE DESCONTAR 
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1698/6 
ANTICIPO HASTA DICIEMBRE 2023
</t>
        </r>
      </text>
    </comment>
    <comment ref="O32" authorId="1" shapeId="0">
      <text>
        <r>
          <rPr>
            <b/>
            <sz val="9"/>
            <color indexed="81"/>
            <rFont val="Tahoma"/>
            <family val="2"/>
          </rPr>
          <t>de octubre</t>
        </r>
      </text>
    </comment>
    <comment ref="Q32" authorId="1" shapeId="0">
      <text>
        <r>
          <rPr>
            <b/>
            <sz val="9"/>
            <color indexed="81"/>
            <rFont val="Tahoma"/>
            <family val="2"/>
          </rPr>
          <t>USER:DE DECIMO Y SUELDO</t>
        </r>
      </text>
    </comment>
    <comment ref="S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1752/6 HASTA DICIEMBRE 2023
</t>
        </r>
      </text>
    </comment>
    <comment ref="S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1581/7 va por el 6to desc. Falta 1 TERMINA EN AGOSTO</t>
        </r>
      </text>
    </comment>
    <comment ref="O3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primera letra de prestamo</t>
        </r>
      </text>
    </comment>
    <comment ref="S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1000/4 HASTA DICIEMBRE 2023</t>
        </r>
      </text>
    </comment>
    <comment ref="S3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1698/10  va por el 3er desc, termina en diciembre 2023
</t>
        </r>
      </text>
    </comment>
    <comment ref="S60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 PAGO COMPLETO EN JULIO
</t>
        </r>
      </text>
    </comment>
    <comment ref="S61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 decimo 3ero proporcional de mayo
</t>
        </r>
      </text>
    </comment>
  </commentList>
</comments>
</file>

<file path=xl/sharedStrings.xml><?xml version="1.0" encoding="utf-8"?>
<sst xmlns="http://schemas.openxmlformats.org/spreadsheetml/2006/main" count="9957" uniqueCount="333">
  <si>
    <t>ROL DE PAGOS</t>
  </si>
  <si>
    <t>APELLIDOS / NOMBRES</t>
  </si>
  <si>
    <t>Nº CEDULA:</t>
  </si>
  <si>
    <t>CARGO:</t>
  </si>
  <si>
    <t>DESCIRPCION</t>
  </si>
  <si>
    <t>INGRESOS</t>
  </si>
  <si>
    <t>EGRESOS</t>
  </si>
  <si>
    <t>FONDOS DE RESERVA</t>
  </si>
  <si>
    <t>DECIMO TERCERA REMUNERACION</t>
  </si>
  <si>
    <t>DECIMO CUARTA REMUNERACION</t>
  </si>
  <si>
    <t>(-) 11.45% APORTE IESS INDIVIDUAL</t>
  </si>
  <si>
    <t>(-) PRESTAMOS QUIROGRAFARIOS IESS</t>
  </si>
  <si>
    <t>TOTALES:</t>
  </si>
  <si>
    <t>LIQUIDO A RECIBIR</t>
  </si>
  <si>
    <t>FORMA DE PAGO: TRANSFERENCIA SPI-SP</t>
  </si>
  <si>
    <t>PRESIDENTE</t>
  </si>
  <si>
    <t>REMUNERACION MENSUAL UNIFICADA</t>
  </si>
  <si>
    <t>VICEPRESIDENTE</t>
  </si>
  <si>
    <t>(-) DESCUENTO COMPRA DE ARTEFACTOS</t>
  </si>
  <si>
    <t>(-) 9.45% APORTE IESS INDIVIDUAL</t>
  </si>
  <si>
    <t>Srta. Jessica Noemi  Aroca Cariapuma</t>
  </si>
  <si>
    <t>Sr. Wilson Javier Landa Castro</t>
  </si>
  <si>
    <t>SECRETARIA TESORERA GADPRAH</t>
  </si>
  <si>
    <t>PRESIDENTE GADPRAH</t>
  </si>
  <si>
    <t>C.I:2200027643</t>
  </si>
  <si>
    <t>ENERO</t>
  </si>
  <si>
    <t>MES:</t>
  </si>
  <si>
    <t>2200027643</t>
  </si>
  <si>
    <t>ELABORADO POR:</t>
  </si>
  <si>
    <t>AuUTORIZADO POR:</t>
  </si>
  <si>
    <t>RECIBI CONFORME:</t>
  </si>
  <si>
    <t>YUMBO NARVAEZ FROILAN CESAR</t>
  </si>
  <si>
    <t>LANDA CASTRO WILSON JAVIER</t>
  </si>
  <si>
    <t>1500471881</t>
  </si>
  <si>
    <t>Sr. Froilan Cesar Yumbo Narvaez</t>
  </si>
  <si>
    <t>C.I:1500471881</t>
  </si>
  <si>
    <t>CHIMBO SHIGUANGO  CARLOS ENRIQUE</t>
  </si>
  <si>
    <t>PRIMER VOCAL</t>
  </si>
  <si>
    <t>Sr. Carlos Enrique Chimbo Shiguango</t>
  </si>
  <si>
    <t>C.I:1500680861</t>
  </si>
  <si>
    <t>AJON GUTIERREZ EDWIN MURIALDO</t>
  </si>
  <si>
    <t>SEGUNDO  VOCAL</t>
  </si>
  <si>
    <t>C.I:1500631138</t>
  </si>
  <si>
    <t>Sr. Edwin Murialdo Ajon Gutierrez</t>
  </si>
  <si>
    <t>GREFA VARGAS DEISY EDITH</t>
  </si>
  <si>
    <t>TERCER   VOCAL</t>
  </si>
  <si>
    <t>C.I:2200496376</t>
  </si>
  <si>
    <t>Sra. Deisy Edith Grefa Vargas</t>
  </si>
  <si>
    <t>AROCA CARIAPUMA JESSICA NOEMI</t>
  </si>
  <si>
    <t>SECRETARIA-TESORERA</t>
  </si>
  <si>
    <t>C.I:2200159149</t>
  </si>
  <si>
    <t>GAVIDIA BARRERA JOSE LUIS</t>
  </si>
  <si>
    <t>TECNICO DE OBRAS PUBLICAS</t>
  </si>
  <si>
    <t>Ing. Jose Luis Gavidia Barrera</t>
  </si>
  <si>
    <t>C.I:1600531048</t>
  </si>
  <si>
    <t>(-) ANTICIPO SUELDO</t>
  </si>
  <si>
    <t>(-) DESCUENTO IMPUESTO A LA RENTA 2019</t>
  </si>
  <si>
    <t xml:space="preserve">CASTILLO BUSTAMANTE ROMEL VINICIO </t>
  </si>
  <si>
    <t>TECNICO DE PLANIFICACIÒN</t>
  </si>
  <si>
    <t>Ing. Romel Vinicio Castillo Bustamante</t>
  </si>
  <si>
    <t>C.I:160034462-4</t>
  </si>
  <si>
    <t xml:space="preserve">AREVALO VILLACRES MONICA LETICIA </t>
  </si>
  <si>
    <t>SECRETARIA - AUXILIAR</t>
  </si>
  <si>
    <t>C.I:2250187560</t>
  </si>
  <si>
    <t>Srta. Monica Leticia Arevalo Villacres</t>
  </si>
  <si>
    <t>ZAMORA MACIAS RAMON CRISTOBAL</t>
  </si>
  <si>
    <t>CONDUCTOR</t>
  </si>
  <si>
    <t>Sr. Ramon Cristobal Zamora Macias</t>
  </si>
  <si>
    <t>C.I:1500660749</t>
  </si>
  <si>
    <t>VASQUEZ PUETATE XAVIER IVAN</t>
  </si>
  <si>
    <t>Sr. Xavier Ivan Vasquez Puetate</t>
  </si>
  <si>
    <t>C.I:1712044146</t>
  </si>
  <si>
    <t>(-) PENSION ALIMENTICIA</t>
  </si>
  <si>
    <t>CHALCO HURTADO WILMER HERNANDO</t>
  </si>
  <si>
    <t>OPERADOR EXCAVADORA</t>
  </si>
  <si>
    <t>Sr. Wilmer Hernando Chalco Hurtado</t>
  </si>
  <si>
    <t>C.I:0702864372</t>
  </si>
  <si>
    <t>0702864372</t>
  </si>
  <si>
    <t>PAPA COQUINCHE JUAN LEVINGSTONE</t>
  </si>
  <si>
    <t>1500709041</t>
  </si>
  <si>
    <t>Sr. Juan Levingstone Papa Coquinche</t>
  </si>
  <si>
    <t>C.I:1500709041</t>
  </si>
  <si>
    <t>AJON PAPA LUIS SACARIO</t>
  </si>
  <si>
    <t>1500508542</t>
  </si>
  <si>
    <t>PROMOTOR AGRICOLA</t>
  </si>
  <si>
    <t>Sr.Luis Sacario Ajon Papa</t>
  </si>
  <si>
    <t>C.I:1500508542</t>
  </si>
  <si>
    <t>GUARDIA</t>
  </si>
  <si>
    <t>VELEZ MOREIRA HECTOR ANTONIO</t>
  </si>
  <si>
    <t>1308691953</t>
  </si>
  <si>
    <t>TRABAJADOR AMBIENTAL</t>
  </si>
  <si>
    <t>Sr. Hector Antonio Velez Moreira</t>
  </si>
  <si>
    <t>C.I:1308691953</t>
  </si>
  <si>
    <t>AUTORIZADO POR:</t>
  </si>
  <si>
    <t>DESCRIPCION</t>
  </si>
  <si>
    <t>VILLEGAS CARVAJAL JESUS JOSE</t>
  </si>
  <si>
    <t>220059003-8</t>
  </si>
  <si>
    <t>C.I:220059003-8</t>
  </si>
  <si>
    <t>Sr.Jesus Jose Villegas Carvajal</t>
  </si>
  <si>
    <t>AÑO:</t>
  </si>
  <si>
    <t xml:space="preserve">FONDOS DE RESERVA </t>
  </si>
  <si>
    <t xml:space="preserve">(-) DESCUENTO IMPUESTO A LA RENTA </t>
  </si>
  <si>
    <t>(-) DESCUENTO IMPUESTO A LA RENTA</t>
  </si>
  <si>
    <t>OPERADOR  MAQUINARIA AGRICOLA</t>
  </si>
  <si>
    <t>FONDOS DE RESERVA ENERO-DICIEMBRE</t>
  </si>
  <si>
    <t>FONDOS DE RESERVA ENERO- DICIEMBRE</t>
  </si>
  <si>
    <t>FONDOS DE RESERVA ENERO - DICIEMBRE</t>
  </si>
  <si>
    <t xml:space="preserve">FONDOS DE RESERVA ENERO - DICIEMBRE </t>
  </si>
  <si>
    <t>FONDOS DE RESERVA AGOSTO-DICIEMBRE</t>
  </si>
  <si>
    <t>FONDOS DE RESERVA ENERO-AGOSTO</t>
  </si>
  <si>
    <t xml:space="preserve">(-) PAGO INTERES Y MULTA AL SRI </t>
  </si>
  <si>
    <t>LIMACHE CHILUISA VICTOR PATRICIO</t>
  </si>
  <si>
    <t>FEBRERO</t>
  </si>
  <si>
    <t>MARZO</t>
  </si>
  <si>
    <t>C.I:2100689831</t>
  </si>
  <si>
    <t>Sr. Victor Patricio Limache Chiluisa</t>
  </si>
  <si>
    <t xml:space="preserve">FEBRERO </t>
  </si>
  <si>
    <t>ABRIL</t>
  </si>
  <si>
    <t xml:space="preserve"> FALTA DESCONTAR 375</t>
  </si>
  <si>
    <t>MAYO</t>
  </si>
  <si>
    <t>JUNIO</t>
  </si>
  <si>
    <t>FONDOS DE RESERVA ENERO - MAYO</t>
  </si>
  <si>
    <t>JULIO</t>
  </si>
  <si>
    <t>VACACIONES NO GOZADAS</t>
  </si>
  <si>
    <t>PENDIENTE DE DESCONTAR 38.00</t>
  </si>
  <si>
    <t>VAICILLA SANCHEZ MICHAEL GALO</t>
  </si>
  <si>
    <t>SALAZAR GREFA JAIME CIRILO</t>
  </si>
  <si>
    <t>2200468730</t>
  </si>
  <si>
    <t>Ing.Jaime Cirilo Salazar Grefa</t>
  </si>
  <si>
    <t>C.I:2200468730</t>
  </si>
  <si>
    <t>Sr.Michael Galo Vaicilla Sanchez</t>
  </si>
  <si>
    <t>C.I:2200238240</t>
  </si>
  <si>
    <t xml:space="preserve">AGOSTO </t>
  </si>
  <si>
    <t>ROL DE PAGOS DECIMO CUARTO SUELDO</t>
  </si>
  <si>
    <t>AGOSTO</t>
  </si>
  <si>
    <t>PENDIENTE DE DESCONTAR 35.00</t>
  </si>
  <si>
    <t>SEPTIEMBRE</t>
  </si>
  <si>
    <t>FONDOS DE RESERVA ENERO-SEPTIEMBRE</t>
  </si>
  <si>
    <t>DECIMO TERCERA REMUNERACION ENERO-SEPTIEMBRE</t>
  </si>
  <si>
    <t>REMUNERACION MENSUAL UNIFICADA PROPORCIONAL</t>
  </si>
  <si>
    <t xml:space="preserve">DECIMO CUARTA REMUNERACION </t>
  </si>
  <si>
    <t>VACACIONES NO GAZADAS (60 DIAS)</t>
  </si>
  <si>
    <t>SEPTEIMBRE</t>
  </si>
  <si>
    <t>PERIODO</t>
  </si>
  <si>
    <t>AÑO</t>
  </si>
  <si>
    <t>CEDULA</t>
  </si>
  <si>
    <t>APELLIDO Y NOMBRES</t>
  </si>
  <si>
    <t>CARGO</t>
  </si>
  <si>
    <t>SUELDO</t>
  </si>
  <si>
    <t>DECIMO TERCERO</t>
  </si>
  <si>
    <t>DECIMO CUARTO</t>
  </si>
  <si>
    <t>DIAS LABORADOS</t>
  </si>
  <si>
    <t>TOTAL INGRESOS</t>
  </si>
  <si>
    <t>AP. PERSONAL 9,45%</t>
  </si>
  <si>
    <t>AP. PATRONAL 11,65%</t>
  </si>
  <si>
    <t>GRUPO</t>
  </si>
  <si>
    <t>PRES. IESS</t>
  </si>
  <si>
    <t>DESCUENTO DE ARTEFACTO</t>
  </si>
  <si>
    <t>RET. JUDICIAL</t>
  </si>
  <si>
    <t>TOTAL GASTO</t>
  </si>
  <si>
    <t>ANTICIPO</t>
  </si>
  <si>
    <t>FIRMA DE RECIBIDO CONFORME</t>
  </si>
  <si>
    <t>ROL DE PAGOS DEL PERSONAL ADMINISTRATIVO DEL MAYO 2023</t>
  </si>
  <si>
    <t>LUZ NARCISA GREFA YUMBO</t>
  </si>
  <si>
    <t>DEISY EDITH GREFA VARGAS</t>
  </si>
  <si>
    <t>PEDRO PABLO MONTERO ALTAMIRANO</t>
  </si>
  <si>
    <t>FLAVIO FEDERICO GREFA SHIGUANGO</t>
  </si>
  <si>
    <t>JEANET VIVIANA VASQUEZ YUMBO</t>
  </si>
  <si>
    <t>BONILLA QUERA  INES ROCIO</t>
  </si>
  <si>
    <t>VICEPRESIDENTA</t>
  </si>
  <si>
    <t>1 VOCAL</t>
  </si>
  <si>
    <t>2 VOCAL</t>
  </si>
  <si>
    <t>3 VOCAL</t>
  </si>
  <si>
    <t>TESORERA_SECRETARIA</t>
  </si>
  <si>
    <t>SALARIO MENSUAL</t>
  </si>
  <si>
    <t>ROL DE PAGOS DEL PERSONAL (INVERSION- CODIGO DE TRABAJO) DEL MAYO 2023</t>
  </si>
  <si>
    <t>ROL DE PAGOS DEL PERSONAL (INVERSION- CONTRATO OCACIONAL)  DEL MAYO 2023</t>
  </si>
  <si>
    <t>DIAS L.</t>
  </si>
  <si>
    <t>AREVALO VILLACRES MONICA LETICIA</t>
  </si>
  <si>
    <t>2250187560</t>
  </si>
  <si>
    <t>1712044146</t>
  </si>
  <si>
    <t>2200590038</t>
  </si>
  <si>
    <t>1500660749</t>
  </si>
  <si>
    <t>SECRETARIA-AUXILIAR</t>
  </si>
  <si>
    <t>OPERADOR MAQUINARIA AGRICOLA</t>
  </si>
  <si>
    <t>TOTAL</t>
  </si>
  <si>
    <t>AP. PERSONAL 11,45%</t>
  </si>
  <si>
    <t>APROBADO POR:</t>
  </si>
  <si>
    <t>ING.INES ROCIO BONILLA QUERA</t>
  </si>
  <si>
    <t>SRA.GREFA YUMBO LUZ NARCISA</t>
  </si>
  <si>
    <t>CALAPUCHA SALAZAR DINA MAGALY</t>
  </si>
  <si>
    <t>ASISTENTE_FINANCIERO</t>
  </si>
  <si>
    <t>ANDI YUMBO JAIME FABRICIO</t>
  </si>
  <si>
    <t>AJON GREFA JENDER JONATHAN</t>
  </si>
  <si>
    <t>YUMBO PIZANGO GEOVER TOMAS</t>
  </si>
  <si>
    <t>ALARCON NARANJO PEDRO DANIEL</t>
  </si>
  <si>
    <t>TECNICO DE PLANIFICACION</t>
  </si>
  <si>
    <t>AP. PATRONAL 12,15%</t>
  </si>
  <si>
    <t>2200496376</t>
  </si>
  <si>
    <t>1500518517</t>
  </si>
  <si>
    <t>2200277818</t>
  </si>
  <si>
    <t>ROL DE PAGOS DEL PERSONAL (INVERSION- CONTRATO OCACIONAL)  DEL MAYO 2023 LIQUIDACION</t>
  </si>
  <si>
    <t>VACACIONES NO GOZADA</t>
  </si>
  <si>
    <t>ZUÑA 708</t>
  </si>
  <si>
    <t>0461010791</t>
  </si>
  <si>
    <t>BANECUADOR</t>
  </si>
  <si>
    <t>POLICIA</t>
  </si>
  <si>
    <t>422010014410</t>
  </si>
  <si>
    <t>2204391751</t>
  </si>
  <si>
    <t>PICHINCHA</t>
  </si>
  <si>
    <t>0460165064</t>
  </si>
  <si>
    <t>0460305818</t>
  </si>
  <si>
    <t>4010163864</t>
  </si>
  <si>
    <t>BGUAYAQUIL</t>
  </si>
  <si>
    <t>0043955459</t>
  </si>
  <si>
    <t>2205041279</t>
  </si>
  <si>
    <t>443010010385</t>
  </si>
  <si>
    <t>29 DE OCTUBRE</t>
  </si>
  <si>
    <t>4005631969</t>
  </si>
  <si>
    <t>CODIGO</t>
  </si>
  <si>
    <t>CUENTA</t>
  </si>
  <si>
    <t>0460297065</t>
  </si>
  <si>
    <t>5925365900</t>
  </si>
  <si>
    <t>10202000658</t>
  </si>
  <si>
    <t>COCA LTDA</t>
  </si>
  <si>
    <t>12084086233</t>
  </si>
  <si>
    <t>PRODUBANCO</t>
  </si>
  <si>
    <t>4005241112</t>
  </si>
  <si>
    <t>3941280000</t>
  </si>
  <si>
    <t>INSTITUCION FINANCIERA</t>
  </si>
  <si>
    <t>2209281737</t>
  </si>
  <si>
    <t>84</t>
  </si>
  <si>
    <t>65</t>
  </si>
  <si>
    <t>50</t>
  </si>
  <si>
    <t>10*9,60</t>
  </si>
  <si>
    <t>0201172517</t>
  </si>
  <si>
    <t>TLGA.GREFA YUMBO LUZ NARCISA</t>
  </si>
  <si>
    <t>PRESIDENTA DEL GADPR AVILA HUIRUNO</t>
  </si>
  <si>
    <t>SECRETARIA-TESORERA DEL GADPR AVILA HUIRUNO</t>
  </si>
  <si>
    <t>ROL DE PAGOS DEL PERSONAL ADMINISTRATIVO DEL JUNIO 2023</t>
  </si>
  <si>
    <t>ROL DE PAGOS DEL PERSONAL (INVERSION- CODIGO DE TRABAJO) DEL JUNIO 2023</t>
  </si>
  <si>
    <t>ROL DE PAGOS DEL PERSONAL (INVERSION- CONTRATO OCACIONAL)  DEL JUNIO 2023</t>
  </si>
  <si>
    <t>1500814940</t>
  </si>
  <si>
    <t>Sra. Vasquez Yumbo Jeanet Viviana</t>
  </si>
  <si>
    <t>C.I:1500814940</t>
  </si>
  <si>
    <t>Ing. Bonilla Quera Ines Rocio</t>
  </si>
  <si>
    <t>SECRETARIA-TESORERA GADPRAH</t>
  </si>
  <si>
    <t>Sra. Grefa Yumbo Luz Narcisa</t>
  </si>
  <si>
    <t>NOMBRES Y APELLIDOS</t>
  </si>
  <si>
    <t>FECHA DE NACIMIENTO</t>
  </si>
  <si>
    <t>N. USUARIO</t>
  </si>
  <si>
    <t>ROL DE PAGOS DEL PERSONAL ADMINISTRATIVO DEL JULIO 2023</t>
  </si>
  <si>
    <t>ROL DE PAGOS DEL PERSONAL (INVERSION- CODIGO DE TRABAJO) DEL JULIO 2023</t>
  </si>
  <si>
    <t>ROL DE PAGOS DEL PERSONAL (INVERSION- CONTRATO OCACIONAL)  DEL JULIO 2023</t>
  </si>
  <si>
    <t>2209538260</t>
  </si>
  <si>
    <t>4005110329</t>
  </si>
  <si>
    <t>EDIFICIO</t>
  </si>
  <si>
    <t>MOBILIARIO</t>
  </si>
  <si>
    <t>MAQUINARIA</t>
  </si>
  <si>
    <t>VEHICULO</t>
  </si>
  <si>
    <t>HERRAMIENTAS</t>
  </si>
  <si>
    <t>EQ. INFORMATICOS</t>
  </si>
  <si>
    <t>JUNIO INGRESO</t>
  </si>
  <si>
    <t>TOTAL A PAGAR</t>
  </si>
  <si>
    <t>GOBIERNO AUTONOMO DESCENTRALIZADO PARROQUIAL RURAL AVILA HUIRUNO</t>
  </si>
  <si>
    <t>PLANILLA DEL DÉCIMO CUARTO SUELDO PERIODO DESDE 15 DE MAYO AL 31 DE JULIO DE 2023</t>
  </si>
  <si>
    <t xml:space="preserve">NOMINA ADMINISTRATIVO </t>
  </si>
  <si>
    <t>PARTIDA</t>
  </si>
  <si>
    <t>51.01.05</t>
  </si>
  <si>
    <t>PAGOS DE DECIMO CUARTO DEL PERSONAL ADMINISTRATIVO DEL 31 DE JULIO 2023</t>
  </si>
  <si>
    <t>PLANILLA DEL DÉCIMO CUARTO SUELDO PERIODO DESDE 01 AGOSTO 2022  AL 31 DE JULIO DE 2023</t>
  </si>
  <si>
    <t>71.01.05</t>
  </si>
  <si>
    <t>SUELDO BASICO UNIFICACO 2023</t>
  </si>
  <si>
    <t>VALOR POR DIA</t>
  </si>
  <si>
    <t>PAGO PROPORCIONAL</t>
  </si>
  <si>
    <t>MESES LABORABOS</t>
  </si>
  <si>
    <t>VALOR MENSUAL</t>
  </si>
  <si>
    <t>TOTAL VALOR MENSUAL</t>
  </si>
  <si>
    <t>DESC. PAGO ANTIPADO EN MAYO</t>
  </si>
  <si>
    <t xml:space="preserve">SUELDO </t>
  </si>
  <si>
    <t>COBRA MENSUALIZADO EN EL ROL</t>
  </si>
  <si>
    <t>COBRAN MENSUALIZADO EN EL ROL</t>
  </si>
  <si>
    <t>PAGOS DE DECIMO CUARTO DEL PERSONAL DE INVERSION CONTRATO OCACIONAL DEL 01 DE AGOSTO 2022 AL 31 DE JULIO 2023</t>
  </si>
  <si>
    <t>PAGOS DE DECIMO CUARTO DEL PERSONAL DE INVERSION CODIGO DE TRABAJO DEL 01 DE AGOSTO 2022 AL 31 DE JULIO 2023</t>
  </si>
  <si>
    <t>N.-</t>
  </si>
  <si>
    <t xml:space="preserve">N.- </t>
  </si>
  <si>
    <t>2206140670</t>
  </si>
  <si>
    <t>ROL DE PAGOS DEL PERSONAL ADMINISTRATIVO DEL AGOSTO 2023</t>
  </si>
  <si>
    <t>ROL DE PAGOS DEL PERSONAL (INVERSION- CODIGO DE TRABAJO) DEL AGOSTO 2023</t>
  </si>
  <si>
    <t>ROL DE PAGOS DEL PERSONAL (INVERSION- CONTRATO OCACIONAL)  DEL AGOSTO 2023</t>
  </si>
  <si>
    <t>2200534663</t>
  </si>
  <si>
    <t>GREFA CUJI EDGAR OMAR</t>
  </si>
  <si>
    <t>OPERADOR DE RODILLO</t>
  </si>
  <si>
    <t>2209225273</t>
  </si>
  <si>
    <t>0460281632</t>
  </si>
  <si>
    <t>1500798028</t>
  </si>
  <si>
    <t>TAPUYLICUY LUZ MARIA</t>
  </si>
  <si>
    <t>Sra Luz Narcisda Grefa Yumbo</t>
  </si>
  <si>
    <t>Ing. Ines Rocio Bonilla Quera</t>
  </si>
  <si>
    <t>PRESIDENTA GADPRAH</t>
  </si>
  <si>
    <t xml:space="preserve">gc </t>
  </si>
  <si>
    <t>PRESIDENTA</t>
  </si>
  <si>
    <t>PEDRO PABLO MONTERO ALTAMIR</t>
  </si>
  <si>
    <t>1500367295</t>
  </si>
  <si>
    <t>(-) PRESTAMOS QUIROGRAFARIOS IESS / OSCU</t>
  </si>
  <si>
    <t>PRES. IESS/ OSCU</t>
  </si>
  <si>
    <t>(-) DESCUENTO SUPA</t>
  </si>
  <si>
    <t>(-) PRESTAMOS QUIROGRAFARIOS IESS / OSCUS</t>
  </si>
  <si>
    <t>ASISTENTE_ADMINISTRATIVO</t>
  </si>
  <si>
    <t>ROL DE PAGOS DEL PERSONAL ADMINISTRATIVO DEL SEPTIEMBRE 2023</t>
  </si>
  <si>
    <t>ROL DE PAGOS DEL PERSONAL (INVERSION- CODIGO DE TRABAJO) DEL SEPTIEMBRE 2023</t>
  </si>
  <si>
    <t>ROL DE PAGOS DEL PERSONAL (INVERSION- CONTRATO OCACIONAL)  DEL SEPTIEMBRE 2023</t>
  </si>
  <si>
    <t>VAICILLA SANCHEZ VICTOR ERICK</t>
  </si>
  <si>
    <t>2203850839</t>
  </si>
  <si>
    <t>ROL DE PAGOS DEL PERSONAL ADMINISTRATIVO DEL OCTUBRE 2023</t>
  </si>
  <si>
    <t>OCTUBRE</t>
  </si>
  <si>
    <t>ROL DE PAGOS DEL PERSONAL (INVERSION- CONTRATO OCACIONAL)  DEL OCTUBRE 2023</t>
  </si>
  <si>
    <t>ROL DE PAGOS DEL PERSONAL (INVERSION- CODIGO DE TRABAJO) DEL OCTUBRE 2023</t>
  </si>
  <si>
    <t>514.04</t>
  </si>
  <si>
    <t>442.75</t>
  </si>
  <si>
    <t>1083.82</t>
  </si>
  <si>
    <t>PLANILLA DEL DÉCIMO CUARTO SUELDO PERIODO DESDE01 DE DICIEMBRE 2022 AL 30 DE NOVIEMBRE DE 2023</t>
  </si>
  <si>
    <t>TOTAL VALOR PERCIBIDO4</t>
  </si>
  <si>
    <t>MESES AÑO</t>
  </si>
  <si>
    <t>TOTAL A RECIBIR</t>
  </si>
  <si>
    <t>MAS PROPORCIONAL</t>
  </si>
  <si>
    <t>14264.25</t>
  </si>
  <si>
    <t>ROL DE PAGOS DEL PERSONAL ADMINISTRATIVO DEL DICIEMBRE 2023</t>
  </si>
  <si>
    <t>ROL DE PAGOS DEL PERSONAL (INVERSION- CODIGO DE TRABAJO) DEL DICIEMBRE 2023</t>
  </si>
  <si>
    <t>ROL DE PAGOS DEL PERSONAL (INVERSION- CONTRATO OCACIONAL)  DEL DICIEMBRE 2023</t>
  </si>
  <si>
    <t>DICIEMBRE</t>
  </si>
  <si>
    <t>FONDO DE RESERVA 2023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</si>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</sst>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dd\-mm\-yy;@"/>
    <numFmt numFmtId="167" formatCode="[$-C0A]d\-mmm\-yy;@"/>
    <numFmt numFmtId="168" formatCode="0.000"/>
    <numFmt numFmtId="169" formatCode="#0.00"/>
    <numFmt numFmtId="170" formatCode="_-* #,##0.00\ _$_-;\-* #,##0.00\ _$_-;_-* &quot;-&quot;??\ _$_-;_-@_-"/>
    <numFmt numFmtId="171" formatCode="_ * #,##0.000_ ;_ * \-#,##0.000_ ;_ * &quot;-&quot;??_ ;_ @_ "/>
    <numFmt numFmtId="172" formatCode="0.000000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231F20"/>
      <name val="Gabriola"/>
      <family val="5"/>
    </font>
    <font>
      <sz val="9"/>
      <name val="Arial"/>
      <family val="2"/>
    </font>
    <font>
      <i/>
      <sz val="8"/>
      <color rgb="FF5B9BD5"/>
      <name val="Arial Narrow"/>
      <family val="2"/>
    </font>
    <font>
      <i/>
      <sz val="8"/>
      <color rgb="FF5B9BD5"/>
      <name val="Calibri"/>
      <family val="2"/>
      <scheme val="minor"/>
    </font>
    <font>
      <b/>
      <i/>
      <sz val="16"/>
      <color theme="1"/>
      <name val="Arial Black"/>
      <family val="2"/>
    </font>
    <font>
      <b/>
      <i/>
      <sz val="11"/>
      <name val="Arial"/>
      <family val="2"/>
    </font>
    <font>
      <b/>
      <i/>
      <sz val="14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7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170" fontId="1" fillId="0" borderId="0" applyFont="0" applyFill="0" applyBorder="0" applyAlignment="0" applyProtection="0"/>
  </cellStyleXfs>
  <cellXfs count="356">
    <xf numFmtId="0" fontId="0" fillId="0" borderId="0" xfId="0"/>
    <xf numFmtId="43" fontId="2" fillId="0" borderId="6" xfId="1" applyFont="1" applyBorder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5" fillId="0" borderId="0" xfId="0" applyFont="1" applyBorder="1"/>
    <xf numFmtId="49" fontId="2" fillId="0" borderId="0" xfId="0" applyNumberFormat="1" applyFont="1" applyBorder="1" applyAlignment="1">
      <alignment horizontal="left"/>
    </xf>
    <xf numFmtId="0" fontId="4" fillId="0" borderId="11" xfId="0" applyFont="1" applyBorder="1"/>
    <xf numFmtId="9" fontId="2" fillId="0" borderId="12" xfId="0" applyNumberFormat="1" applyFont="1" applyBorder="1" applyAlignment="1">
      <alignment horizontal="left"/>
    </xf>
    <xf numFmtId="166" fontId="2" fillId="0" borderId="12" xfId="0" applyNumberFormat="1" applyFont="1" applyBorder="1"/>
    <xf numFmtId="167" fontId="2" fillId="0" borderId="12" xfId="0" applyNumberFormat="1" applyFont="1" applyBorder="1"/>
    <xf numFmtId="4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2" fillId="0" borderId="17" xfId="1" applyFont="1" applyBorder="1"/>
    <xf numFmtId="0" fontId="2" fillId="0" borderId="11" xfId="0" applyFont="1" applyBorder="1"/>
    <xf numFmtId="0" fontId="2" fillId="0" borderId="12" xfId="0" applyFont="1" applyBorder="1"/>
    <xf numFmtId="0" fontId="5" fillId="0" borderId="11" xfId="0" applyFont="1" applyBorder="1"/>
    <xf numFmtId="0" fontId="5" fillId="0" borderId="12" xfId="0" applyFont="1" applyBorder="1"/>
    <xf numFmtId="0" fontId="6" fillId="0" borderId="12" xfId="0" applyFont="1" applyBorder="1"/>
    <xf numFmtId="0" fontId="8" fillId="0" borderId="11" xfId="0" applyFont="1" applyBorder="1" applyAlignment="1">
      <alignment wrapText="1"/>
    </xf>
    <xf numFmtId="0" fontId="8" fillId="0" borderId="1" xfId="0" applyFont="1" applyBorder="1" applyAlignment="1">
      <alignment wrapText="1"/>
    </xf>
    <xf numFmtId="43" fontId="8" fillId="0" borderId="6" xfId="1" applyFont="1" applyBorder="1"/>
    <xf numFmtId="43" fontId="8" fillId="0" borderId="17" xfId="1" applyFont="1" applyBorder="1"/>
    <xf numFmtId="0" fontId="0" fillId="0" borderId="12" xfId="0" applyBorder="1"/>
    <xf numFmtId="0" fontId="0" fillId="0" borderId="11" xfId="0" applyBorder="1"/>
    <xf numFmtId="0" fontId="6" fillId="0" borderId="11" xfId="0" applyFont="1" applyBorder="1"/>
    <xf numFmtId="0" fontId="6" fillId="0" borderId="24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/>
    <xf numFmtId="0" fontId="5" fillId="0" borderId="27" xfId="0" applyFont="1" applyBorder="1" applyAlignment="1">
      <alignment horizontal="center"/>
    </xf>
    <xf numFmtId="0" fontId="3" fillId="3" borderId="11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8" xfId="0" applyFont="1" applyFill="1" applyBorder="1"/>
    <xf numFmtId="0" fontId="3" fillId="3" borderId="7" xfId="0" applyFont="1" applyFill="1" applyBorder="1"/>
    <xf numFmtId="0" fontId="2" fillId="4" borderId="0" xfId="0" applyFont="1" applyFill="1" applyBorder="1"/>
    <xf numFmtId="165" fontId="3" fillId="3" borderId="3" xfId="0" applyNumberFormat="1" applyFont="1" applyFill="1" applyBorder="1"/>
    <xf numFmtId="0" fontId="12" fillId="3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3" fillId="3" borderId="28" xfId="1" applyFont="1" applyFill="1" applyBorder="1"/>
    <xf numFmtId="43" fontId="13" fillId="3" borderId="28" xfId="1" applyFont="1" applyFill="1" applyBorder="1" applyAlignment="1">
      <alignment horizontal="right"/>
    </xf>
    <xf numFmtId="0" fontId="11" fillId="4" borderId="11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3" fontId="8" fillId="4" borderId="6" xfId="1" applyFont="1" applyFill="1" applyBorder="1"/>
    <xf numFmtId="165" fontId="0" fillId="0" borderId="0" xfId="0" applyNumberFormat="1"/>
    <xf numFmtId="0" fontId="6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10" fontId="0" fillId="0" borderId="0" xfId="0" applyNumberFormat="1"/>
    <xf numFmtId="43" fontId="0" fillId="0" borderId="0" xfId="0" applyNumberFormat="1"/>
    <xf numFmtId="0" fontId="0" fillId="6" borderId="0" xfId="0" applyFill="1"/>
    <xf numFmtId="0" fontId="0" fillId="0" borderId="3" xfId="0" applyBorder="1"/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horizontal="left" vertical="center" wrapText="1"/>
    </xf>
    <xf numFmtId="0" fontId="16" fillId="4" borderId="3" xfId="0" applyFont="1" applyFill="1" applyBorder="1" applyAlignment="1">
      <alignment vertical="center"/>
    </xf>
    <xf numFmtId="0" fontId="16" fillId="4" borderId="3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0" fillId="0" borderId="0" xfId="0" applyFont="1" applyBorder="1"/>
    <xf numFmtId="2" fontId="0" fillId="0" borderId="0" xfId="0" applyNumberFormat="1" applyBorder="1"/>
    <xf numFmtId="0" fontId="0" fillId="0" borderId="3" xfId="0" applyFont="1" applyBorder="1"/>
    <xf numFmtId="2" fontId="0" fillId="0" borderId="3" xfId="0" applyNumberFormat="1" applyBorder="1"/>
    <xf numFmtId="0" fontId="17" fillId="4" borderId="3" xfId="0" applyFont="1" applyFill="1" applyBorder="1" applyAlignment="1">
      <alignment horizontal="center" vertical="center" wrapText="1"/>
    </xf>
    <xf numFmtId="169" fontId="17" fillId="4" borderId="3" xfId="0" applyNumberFormat="1" applyFont="1" applyFill="1" applyBorder="1" applyAlignment="1">
      <alignment horizontal="center" vertical="center" wrapText="1"/>
    </xf>
    <xf numFmtId="2" fontId="0" fillId="3" borderId="3" xfId="0" applyNumberFormat="1" applyFill="1" applyBorder="1"/>
    <xf numFmtId="169" fontId="17" fillId="4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2" fontId="0" fillId="0" borderId="5" xfId="0" applyNumberFormat="1" applyBorder="1"/>
    <xf numFmtId="169" fontId="0" fillId="3" borderId="3" xfId="0" applyNumberFormat="1" applyFill="1" applyBorder="1"/>
    <xf numFmtId="49" fontId="16" fillId="0" borderId="0" xfId="0" applyNumberFormat="1" applyFont="1" applyBorder="1" applyAlignment="1"/>
    <xf numFmtId="0" fontId="16" fillId="4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168" fontId="0" fillId="0" borderId="3" xfId="0" applyNumberFormat="1" applyBorder="1"/>
    <xf numFmtId="0" fontId="20" fillId="0" borderId="0" xfId="2" applyFont="1" applyAlignment="1">
      <alignment wrapText="1"/>
    </xf>
    <xf numFmtId="2" fontId="21" fillId="0" borderId="0" xfId="2" applyNumberFormat="1" applyFont="1"/>
    <xf numFmtId="0" fontId="19" fillId="0" borderId="0" xfId="2"/>
    <xf numFmtId="0" fontId="20" fillId="0" borderId="0" xfId="2" applyFont="1" applyAlignment="1">
      <alignment horizontal="center"/>
    </xf>
    <xf numFmtId="0" fontId="20" fillId="0" borderId="0" xfId="2" applyFont="1"/>
    <xf numFmtId="0" fontId="21" fillId="0" borderId="0" xfId="2" applyFont="1"/>
    <xf numFmtId="0" fontId="20" fillId="0" borderId="0" xfId="2" applyFont="1" applyBorder="1" applyAlignment="1">
      <alignment horizontal="center"/>
    </xf>
    <xf numFmtId="170" fontId="22" fillId="4" borderId="3" xfId="3" applyFont="1" applyFill="1" applyBorder="1" applyAlignment="1">
      <alignment horizontal="center" vertical="center"/>
    </xf>
    <xf numFmtId="2" fontId="0" fillId="0" borderId="3" xfId="0" applyNumberFormat="1" applyFill="1" applyBorder="1"/>
    <xf numFmtId="169" fontId="0" fillId="2" borderId="3" xfId="0" applyNumberFormat="1" applyFill="1" applyBorder="1"/>
    <xf numFmtId="0" fontId="16" fillId="4" borderId="3" xfId="0" applyFont="1" applyFill="1" applyBorder="1" applyAlignment="1">
      <alignment horizontal="center"/>
    </xf>
    <xf numFmtId="49" fontId="16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/>
    </xf>
    <xf numFmtId="2" fontId="0" fillId="4" borderId="3" xfId="0" applyNumberFormat="1" applyFill="1" applyBorder="1"/>
    <xf numFmtId="0" fontId="22" fillId="4" borderId="3" xfId="0" applyFont="1" applyFill="1" applyBorder="1" applyAlignment="1">
      <alignment horizontal="center" vertical="center" wrapText="1"/>
    </xf>
    <xf numFmtId="170" fontId="23" fillId="4" borderId="3" xfId="3" applyFont="1" applyFill="1" applyBorder="1" applyAlignment="1">
      <alignment vertical="center"/>
    </xf>
    <xf numFmtId="0" fontId="0" fillId="4" borderId="3" xfId="0" applyFill="1" applyBorder="1"/>
    <xf numFmtId="0" fontId="0" fillId="6" borderId="3" xfId="0" applyFill="1" applyBorder="1"/>
    <xf numFmtId="0" fontId="0" fillId="8" borderId="29" xfId="0" applyFill="1" applyBorder="1"/>
    <xf numFmtId="0" fontId="0" fillId="8" borderId="30" xfId="0" applyFill="1" applyBorder="1" applyAlignment="1">
      <alignment wrapText="1"/>
    </xf>
    <xf numFmtId="0" fontId="0" fillId="8" borderId="31" xfId="0" applyFill="1" applyBorder="1" applyAlignment="1">
      <alignment wrapText="1"/>
    </xf>
    <xf numFmtId="0" fontId="0" fillId="4" borderId="3" xfId="0" applyFont="1" applyFill="1" applyBorder="1"/>
    <xf numFmtId="0" fontId="14" fillId="9" borderId="29" xfId="0" applyFont="1" applyFill="1" applyBorder="1"/>
    <xf numFmtId="0" fontId="14" fillId="9" borderId="30" xfId="0" applyFont="1" applyFill="1" applyBorder="1" applyAlignment="1">
      <alignment wrapText="1"/>
    </xf>
    <xf numFmtId="0" fontId="14" fillId="9" borderId="29" xfId="0" applyFont="1" applyFill="1" applyBorder="1" applyAlignment="1">
      <alignment vertical="center"/>
    </xf>
    <xf numFmtId="0" fontId="14" fillId="9" borderId="30" xfId="0" applyFont="1" applyFill="1" applyBorder="1" applyAlignment="1">
      <alignment vertical="center" wrapText="1"/>
    </xf>
    <xf numFmtId="2" fontId="0" fillId="9" borderId="3" xfId="0" applyNumberFormat="1" applyFill="1" applyBorder="1"/>
    <xf numFmtId="0" fontId="14" fillId="9" borderId="30" xfId="0" applyFont="1" applyFill="1" applyBorder="1" applyAlignment="1">
      <alignment horizontal="center" vertical="center" wrapText="1"/>
    </xf>
    <xf numFmtId="2" fontId="0" fillId="9" borderId="3" xfId="0" applyNumberFormat="1" applyFill="1" applyBorder="1" applyAlignment="1">
      <alignment horizontal="center"/>
    </xf>
    <xf numFmtId="0" fontId="14" fillId="9" borderId="31" xfId="0" applyFont="1" applyFill="1" applyBorder="1" applyAlignment="1">
      <alignment wrapText="1"/>
    </xf>
    <xf numFmtId="0" fontId="14" fillId="8" borderId="29" xfId="0" applyFont="1" applyFill="1" applyBorder="1" applyAlignment="1">
      <alignment vertical="center" wrapText="1"/>
    </xf>
    <xf numFmtId="0" fontId="14" fillId="8" borderId="30" xfId="0" applyFont="1" applyFill="1" applyBorder="1" applyAlignment="1">
      <alignment vertical="center" wrapText="1"/>
    </xf>
    <xf numFmtId="0" fontId="14" fillId="8" borderId="31" xfId="0" applyFont="1" applyFill="1" applyBorder="1" applyAlignment="1">
      <alignment vertical="center" wrapText="1"/>
    </xf>
    <xf numFmtId="2" fontId="0" fillId="8" borderId="3" xfId="0" applyNumberFormat="1" applyFill="1" applyBorder="1"/>
    <xf numFmtId="168" fontId="0" fillId="8" borderId="3" xfId="0" applyNumberFormat="1" applyFill="1" applyBorder="1"/>
    <xf numFmtId="169" fontId="0" fillId="8" borderId="3" xfId="0" applyNumberFormat="1" applyFill="1" applyBorder="1"/>
    <xf numFmtId="2" fontId="0" fillId="6" borderId="3" xfId="0" applyNumberFormat="1" applyFill="1" applyBorder="1"/>
    <xf numFmtId="49" fontId="15" fillId="0" borderId="0" xfId="0" applyNumberFormat="1" applyFont="1"/>
    <xf numFmtId="49" fontId="15" fillId="9" borderId="31" xfId="0" applyNumberFormat="1" applyFont="1" applyFill="1" applyBorder="1" applyAlignment="1">
      <alignment wrapText="1"/>
    </xf>
    <xf numFmtId="49" fontId="15" fillId="0" borderId="3" xfId="0" applyNumberFormat="1" applyFont="1" applyBorder="1"/>
    <xf numFmtId="49" fontId="0" fillId="0" borderId="0" xfId="0" applyNumberFormat="1"/>
    <xf numFmtId="0" fontId="14" fillId="8" borderId="0" xfId="0" applyFont="1" applyFill="1" applyBorder="1" applyAlignment="1">
      <alignment vertical="center" wrapText="1"/>
    </xf>
    <xf numFmtId="49" fontId="0" fillId="8" borderId="0" xfId="0" applyNumberFormat="1" applyFill="1"/>
    <xf numFmtId="49" fontId="27" fillId="8" borderId="0" xfId="0" applyNumberFormat="1" applyFont="1" applyFill="1" applyAlignment="1">
      <alignment vertical="center" wrapText="1"/>
    </xf>
    <xf numFmtId="49" fontId="14" fillId="8" borderId="0" xfId="0" applyNumberFormat="1" applyFont="1" applyFill="1" applyAlignment="1">
      <alignment vertical="center"/>
    </xf>
    <xf numFmtId="49" fontId="27" fillId="9" borderId="0" xfId="0" applyNumberFormat="1" applyFont="1" applyFill="1" applyAlignment="1">
      <alignment vertical="center" wrapText="1"/>
    </xf>
    <xf numFmtId="49" fontId="14" fillId="9" borderId="0" xfId="0" applyNumberFormat="1" applyFont="1" applyFill="1" applyAlignment="1">
      <alignment vertical="center"/>
    </xf>
    <xf numFmtId="0" fontId="14" fillId="9" borderId="0" xfId="0" applyFont="1" applyFill="1" applyBorder="1" applyAlignment="1">
      <alignment vertical="center" wrapText="1"/>
    </xf>
    <xf numFmtId="0" fontId="0" fillId="9" borderId="0" xfId="0" applyFill="1"/>
    <xf numFmtId="49" fontId="15" fillId="9" borderId="0" xfId="0" applyNumberFormat="1" applyFont="1" applyFill="1"/>
    <xf numFmtId="2" fontId="14" fillId="0" borderId="3" xfId="0" applyNumberFormat="1" applyFont="1" applyBorder="1"/>
    <xf numFmtId="0" fontId="14" fillId="0" borderId="3" xfId="0" applyFont="1" applyBorder="1"/>
    <xf numFmtId="170" fontId="14" fillId="9" borderId="3" xfId="0" applyNumberFormat="1" applyFont="1" applyFill="1" applyBorder="1"/>
    <xf numFmtId="170" fontId="14" fillId="9" borderId="3" xfId="0" applyNumberFormat="1" applyFont="1" applyFill="1" applyBorder="1" applyAlignment="1">
      <alignment horizontal="center"/>
    </xf>
    <xf numFmtId="43" fontId="0" fillId="8" borderId="3" xfId="1" applyFont="1" applyFill="1" applyBorder="1"/>
    <xf numFmtId="43" fontId="0" fillId="3" borderId="3" xfId="1" applyFont="1" applyFill="1" applyBorder="1"/>
    <xf numFmtId="49" fontId="0" fillId="0" borderId="3" xfId="0" applyNumberFormat="1" applyFont="1" applyBorder="1" applyAlignment="1"/>
    <xf numFmtId="0" fontId="20" fillId="0" borderId="0" xfId="2" applyFont="1" applyAlignment="1">
      <alignment horizontal="center"/>
    </xf>
    <xf numFmtId="0" fontId="20" fillId="0" borderId="0" xfId="2" applyFont="1" applyBorder="1" applyAlignment="1">
      <alignment horizontal="center"/>
    </xf>
    <xf numFmtId="0" fontId="20" fillId="0" borderId="2" xfId="2" applyFont="1" applyBorder="1"/>
    <xf numFmtId="0" fontId="20" fillId="0" borderId="2" xfId="2" applyFont="1" applyBorder="1" applyAlignment="1">
      <alignment wrapText="1"/>
    </xf>
    <xf numFmtId="2" fontId="0" fillId="0" borderId="3" xfId="0" applyNumberFormat="1" applyBorder="1" applyAlignment="1">
      <alignment horizontal="right"/>
    </xf>
    <xf numFmtId="2" fontId="14" fillId="6" borderId="0" xfId="0" applyNumberFormat="1" applyFont="1" applyFill="1"/>
    <xf numFmtId="169" fontId="14" fillId="2" borderId="3" xfId="0" applyNumberFormat="1" applyFont="1" applyFill="1" applyBorder="1"/>
    <xf numFmtId="169" fontId="14" fillId="8" borderId="3" xfId="0" applyNumberFormat="1" applyFont="1" applyFill="1" applyBorder="1"/>
    <xf numFmtId="169" fontId="14" fillId="3" borderId="3" xfId="0" applyNumberFormat="1" applyFont="1" applyFill="1" applyBorder="1"/>
    <xf numFmtId="43" fontId="0" fillId="0" borderId="3" xfId="0" applyNumberFormat="1" applyBorder="1"/>
    <xf numFmtId="171" fontId="0" fillId="0" borderId="3" xfId="0" applyNumberFormat="1" applyBorder="1"/>
    <xf numFmtId="2" fontId="19" fillId="0" borderId="0" xfId="2" applyNumberFormat="1"/>
    <xf numFmtId="169" fontId="14" fillId="6" borderId="3" xfId="0" applyNumberFormat="1" applyFont="1" applyFill="1" applyBorder="1"/>
    <xf numFmtId="169" fontId="14" fillId="10" borderId="3" xfId="0" applyNumberFormat="1" applyFont="1" applyFill="1" applyBorder="1"/>
    <xf numFmtId="2" fontId="14" fillId="6" borderId="3" xfId="0" applyNumberFormat="1" applyFont="1" applyFill="1" applyBorder="1"/>
    <xf numFmtId="0" fontId="6" fillId="5" borderId="35" xfId="0" applyFont="1" applyFill="1" applyBorder="1" applyAlignment="1">
      <alignment horizontal="center" vertical="center"/>
    </xf>
    <xf numFmtId="168" fontId="0" fillId="0" borderId="6" xfId="0" applyNumberFormat="1" applyFill="1" applyBorder="1"/>
    <xf numFmtId="0" fontId="20" fillId="0" borderId="0" xfId="2" applyFont="1" applyBorder="1" applyAlignment="1">
      <alignment horizontal="center"/>
    </xf>
    <xf numFmtId="0" fontId="20" fillId="0" borderId="0" xfId="2" applyFont="1" applyAlignment="1">
      <alignment horizontal="center"/>
    </xf>
    <xf numFmtId="0" fontId="0" fillId="6" borderId="5" xfId="0" applyFill="1" applyBorder="1"/>
    <xf numFmtId="0" fontId="0" fillId="0" borderId="0" xfId="0" applyAlignment="1">
      <alignment wrapText="1"/>
    </xf>
    <xf numFmtId="0" fontId="28" fillId="8" borderId="3" xfId="0" applyFont="1" applyFill="1" applyBorder="1" applyAlignment="1">
      <alignment vertical="center" wrapText="1"/>
    </xf>
    <xf numFmtId="0" fontId="28" fillId="8" borderId="3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4" borderId="0" xfId="0" applyFill="1"/>
    <xf numFmtId="0" fontId="0" fillId="11" borderId="3" xfId="0" applyFill="1" applyBorder="1"/>
    <xf numFmtId="2" fontId="0" fillId="8" borderId="0" xfId="0" applyNumberFormat="1" applyFill="1"/>
    <xf numFmtId="0" fontId="20" fillId="0" borderId="0" xfId="2" applyFont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2" fontId="0" fillId="11" borderId="3" xfId="0" applyNumberFormat="1" applyFill="1" applyBorder="1"/>
    <xf numFmtId="2" fontId="15" fillId="0" borderId="0" xfId="0" applyNumberFormat="1" applyFont="1"/>
    <xf numFmtId="169" fontId="0" fillId="12" borderId="3" xfId="0" applyNumberForma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9" fontId="0" fillId="4" borderId="0" xfId="0" applyNumberFormat="1" applyFill="1" applyBorder="1"/>
    <xf numFmtId="2" fontId="15" fillId="4" borderId="0" xfId="0" applyNumberFormat="1" applyFont="1" applyFill="1"/>
    <xf numFmtId="49" fontId="0" fillId="4" borderId="0" xfId="0" applyNumberFormat="1" applyFill="1"/>
    <xf numFmtId="0" fontId="14" fillId="9" borderId="31" xfId="0" applyFont="1" applyFill="1" applyBorder="1" applyAlignment="1">
      <alignment vertical="center" wrapText="1"/>
    </xf>
    <xf numFmtId="2" fontId="21" fillId="0" borderId="2" xfId="2" applyNumberFormat="1" applyFont="1" applyBorder="1"/>
    <xf numFmtId="43" fontId="0" fillId="4" borderId="3" xfId="1" applyFont="1" applyFill="1" applyBorder="1"/>
    <xf numFmtId="169" fontId="0" fillId="4" borderId="3" xfId="0" applyNumberFormat="1" applyFill="1" applyBorder="1"/>
    <xf numFmtId="0" fontId="0" fillId="2" borderId="33" xfId="0" applyFill="1" applyBorder="1" applyAlignment="1">
      <alignment wrapText="1"/>
    </xf>
    <xf numFmtId="169" fontId="0" fillId="0" borderId="33" xfId="0" applyNumberFormat="1" applyBorder="1" applyAlignment="1">
      <alignment wrapText="1"/>
    </xf>
    <xf numFmtId="170" fontId="14" fillId="0" borderId="33" xfId="0" applyNumberFormat="1" applyFont="1" applyBorder="1" applyAlignment="1">
      <alignment wrapText="1"/>
    </xf>
    <xf numFmtId="0" fontId="14" fillId="8" borderId="30" xfId="0" applyFont="1" applyFill="1" applyBorder="1" applyAlignment="1">
      <alignment wrapText="1"/>
    </xf>
    <xf numFmtId="0" fontId="14" fillId="8" borderId="31" xfId="0" applyFont="1" applyFill="1" applyBorder="1" applyAlignment="1">
      <alignment wrapText="1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18" fillId="8" borderId="10" xfId="0" applyFont="1" applyFill="1" applyBorder="1" applyAlignment="1"/>
    <xf numFmtId="0" fontId="18" fillId="9" borderId="10" xfId="0" applyFont="1" applyFill="1" applyBorder="1" applyAlignment="1"/>
    <xf numFmtId="0" fontId="27" fillId="8" borderId="21" xfId="0" applyFont="1" applyFill="1" applyBorder="1" applyAlignment="1"/>
    <xf numFmtId="0" fontId="20" fillId="0" borderId="0" xfId="2" applyFont="1" applyBorder="1" applyAlignment="1">
      <alignment horizontal="center"/>
    </xf>
    <xf numFmtId="0" fontId="20" fillId="0" borderId="0" xfId="2" applyFont="1" applyAlignment="1">
      <alignment horizontal="center"/>
    </xf>
    <xf numFmtId="0" fontId="17" fillId="6" borderId="3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170" fontId="23" fillId="6" borderId="3" xfId="3" applyFont="1" applyFill="1" applyBorder="1" applyAlignment="1">
      <alignment vertical="center"/>
    </xf>
    <xf numFmtId="2" fontId="0" fillId="2" borderId="3" xfId="0" applyNumberFormat="1" applyFill="1" applyBorder="1"/>
    <xf numFmtId="0" fontId="0" fillId="2" borderId="5" xfId="0" applyFill="1" applyBorder="1"/>
    <xf numFmtId="0" fontId="0" fillId="2" borderId="3" xfId="0" applyFill="1" applyBorder="1"/>
    <xf numFmtId="0" fontId="3" fillId="13" borderId="11" xfId="0" applyFont="1" applyFill="1" applyBorder="1" applyAlignment="1">
      <alignment horizontal="right"/>
    </xf>
    <xf numFmtId="0" fontId="3" fillId="13" borderId="0" xfId="0" applyFont="1" applyFill="1" applyBorder="1"/>
    <xf numFmtId="0" fontId="3" fillId="13" borderId="3" xfId="0" applyFont="1" applyFill="1" applyBorder="1" applyAlignment="1">
      <alignment horizontal="center"/>
    </xf>
    <xf numFmtId="0" fontId="3" fillId="13" borderId="12" xfId="0" applyFont="1" applyFill="1" applyBorder="1" applyAlignment="1">
      <alignment horizontal="center"/>
    </xf>
    <xf numFmtId="0" fontId="3" fillId="13" borderId="18" xfId="0" applyFont="1" applyFill="1" applyBorder="1"/>
    <xf numFmtId="0" fontId="3" fillId="13" borderId="7" xfId="0" applyFont="1" applyFill="1" applyBorder="1"/>
    <xf numFmtId="165" fontId="3" fillId="13" borderId="3" xfId="0" applyNumberFormat="1" applyFont="1" applyFill="1" applyBorder="1"/>
    <xf numFmtId="43" fontId="3" fillId="13" borderId="28" xfId="1" applyFont="1" applyFill="1" applyBorder="1"/>
    <xf numFmtId="0" fontId="12" fillId="13" borderId="0" xfId="0" applyFont="1" applyFill="1" applyBorder="1" applyAlignment="1">
      <alignment horizontal="center" wrapText="1"/>
    </xf>
    <xf numFmtId="43" fontId="13" fillId="13" borderId="28" xfId="1" applyFont="1" applyFill="1" applyBorder="1" applyAlignment="1">
      <alignment horizontal="right"/>
    </xf>
    <xf numFmtId="0" fontId="6" fillId="13" borderId="2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0" fillId="0" borderId="0" xfId="2" applyFont="1" applyAlignment="1">
      <alignment horizontal="center"/>
    </xf>
    <xf numFmtId="0" fontId="20" fillId="0" borderId="0" xfId="2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169" fontId="30" fillId="4" borderId="5" xfId="0" applyNumberFormat="1" applyFont="1" applyFill="1" applyBorder="1" applyAlignment="1">
      <alignment horizontal="center" vertical="center" wrapText="1"/>
    </xf>
    <xf numFmtId="0" fontId="15" fillId="0" borderId="3" xfId="0" applyFont="1" applyBorder="1"/>
    <xf numFmtId="169" fontId="30" fillId="4" borderId="5" xfId="0" applyNumberFormat="1" applyFont="1" applyFill="1" applyBorder="1" applyAlignment="1">
      <alignment vertical="center" wrapText="1"/>
    </xf>
    <xf numFmtId="0" fontId="15" fillId="0" borderId="3" xfId="0" applyFont="1" applyBorder="1" applyAlignment="1"/>
    <xf numFmtId="0" fontId="30" fillId="4" borderId="3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vertical="center" wrapText="1"/>
    </xf>
    <xf numFmtId="169" fontId="30" fillId="4" borderId="3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Border="1"/>
    <xf numFmtId="2" fontId="15" fillId="2" borderId="3" xfId="0" applyNumberFormat="1" applyFont="1" applyFill="1" applyBorder="1"/>
    <xf numFmtId="0" fontId="15" fillId="4" borderId="3" xfId="0" applyFont="1" applyFill="1" applyBorder="1"/>
    <xf numFmtId="43" fontId="15" fillId="3" borderId="3" xfId="1" applyFont="1" applyFill="1" applyBorder="1"/>
    <xf numFmtId="171" fontId="15" fillId="0" borderId="3" xfId="0" applyNumberFormat="1" applyFont="1" applyBorder="1"/>
    <xf numFmtId="0" fontId="15" fillId="0" borderId="0" xfId="0" applyFont="1"/>
    <xf numFmtId="2" fontId="15" fillId="3" borderId="3" xfId="0" applyNumberFormat="1" applyFont="1" applyFill="1" applyBorder="1"/>
    <xf numFmtId="0" fontId="15" fillId="0" borderId="5" xfId="0" applyFont="1" applyBorder="1"/>
    <xf numFmtId="2" fontId="15" fillId="0" borderId="5" xfId="0" applyNumberFormat="1" applyFont="1" applyBorder="1"/>
    <xf numFmtId="0" fontId="15" fillId="2" borderId="5" xfId="0" applyFont="1" applyFill="1" applyBorder="1"/>
    <xf numFmtId="49" fontId="15" fillId="0" borderId="3" xfId="0" applyNumberFormat="1" applyFont="1" applyBorder="1" applyAlignment="1"/>
    <xf numFmtId="170" fontId="31" fillId="4" borderId="3" xfId="3" applyFont="1" applyFill="1" applyBorder="1" applyAlignment="1">
      <alignment horizontal="center" vertical="center"/>
    </xf>
    <xf numFmtId="0" fontId="15" fillId="6" borderId="5" xfId="0" applyFont="1" applyFill="1" applyBorder="1"/>
    <xf numFmtId="0" fontId="15" fillId="6" borderId="3" xfId="0" applyFont="1" applyFill="1" applyBorder="1"/>
    <xf numFmtId="2" fontId="0" fillId="6" borderId="3" xfId="0" applyNumberFormat="1" applyFill="1" applyBorder="1" applyAlignment="1">
      <alignment horizontal="right"/>
    </xf>
    <xf numFmtId="0" fontId="0" fillId="12" borderId="3" xfId="0" applyFill="1" applyBorder="1"/>
    <xf numFmtId="0" fontId="15" fillId="12" borderId="3" xfId="0" applyFont="1" applyFill="1" applyBorder="1"/>
    <xf numFmtId="2" fontId="15" fillId="6" borderId="3" xfId="0" applyNumberFormat="1" applyFont="1" applyFill="1" applyBorder="1"/>
    <xf numFmtId="0" fontId="20" fillId="0" borderId="0" xfId="2" applyFont="1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2" applyFont="1" applyBorder="1" applyAlignment="1">
      <alignment horizontal="center"/>
    </xf>
    <xf numFmtId="164" fontId="0" fillId="0" borderId="0" xfId="0" applyNumberFormat="1"/>
    <xf numFmtId="0" fontId="0" fillId="10" borderId="3" xfId="0" applyFill="1" applyBorder="1"/>
    <xf numFmtId="0" fontId="15" fillId="10" borderId="5" xfId="0" applyFont="1" applyFill="1" applyBorder="1"/>
    <xf numFmtId="0" fontId="15" fillId="10" borderId="3" xfId="0" applyFont="1" applyFill="1" applyBorder="1"/>
    <xf numFmtId="2" fontId="15" fillId="10" borderId="3" xfId="0" applyNumberFormat="1" applyFont="1" applyFill="1" applyBorder="1"/>
    <xf numFmtId="2" fontId="15" fillId="4" borderId="3" xfId="0" applyNumberFormat="1" applyFont="1" applyFill="1" applyBorder="1"/>
    <xf numFmtId="0" fontId="15" fillId="4" borderId="5" xfId="0" applyFont="1" applyFill="1" applyBorder="1"/>
    <xf numFmtId="2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center"/>
    </xf>
    <xf numFmtId="0" fontId="20" fillId="0" borderId="0" xfId="2" applyFont="1" applyBorder="1" applyAlignment="1">
      <alignment horizontal="center"/>
    </xf>
    <xf numFmtId="169" fontId="0" fillId="0" borderId="0" xfId="0" applyNumberFormat="1"/>
    <xf numFmtId="0" fontId="7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2" fontId="14" fillId="4" borderId="0" xfId="0" applyNumberFormat="1" applyFont="1" applyFill="1"/>
    <xf numFmtId="164" fontId="0" fillId="4" borderId="0" xfId="0" applyNumberFormat="1" applyFill="1"/>
    <xf numFmtId="0" fontId="0" fillId="8" borderId="3" xfId="0" applyFill="1" applyBorder="1"/>
    <xf numFmtId="0" fontId="15" fillId="8" borderId="5" xfId="0" applyFont="1" applyFill="1" applyBorder="1"/>
    <xf numFmtId="0" fontId="15" fillId="8" borderId="3" xfId="0" applyFont="1" applyFill="1" applyBorder="1"/>
    <xf numFmtId="2" fontId="15" fillId="8" borderId="3" xfId="0" applyNumberFormat="1" applyFont="1" applyFill="1" applyBorder="1"/>
    <xf numFmtId="172" fontId="0" fillId="0" borderId="0" xfId="0" applyNumberFormat="1"/>
    <xf numFmtId="2" fontId="0" fillId="6" borderId="0" xfId="0" applyNumberFormat="1" applyFill="1"/>
    <xf numFmtId="0" fontId="18" fillId="8" borderId="10" xfId="0" applyFont="1" applyFill="1" applyBorder="1"/>
    <xf numFmtId="0" fontId="14" fillId="8" borderId="0" xfId="0" applyFont="1" applyFill="1" applyAlignment="1">
      <alignment vertical="center" wrapText="1"/>
    </xf>
    <xf numFmtId="169" fontId="0" fillId="4" borderId="0" xfId="0" applyNumberFormat="1" applyFill="1"/>
    <xf numFmtId="0" fontId="18" fillId="9" borderId="10" xfId="0" applyFont="1" applyFill="1" applyBorder="1"/>
    <xf numFmtId="0" fontId="14" fillId="9" borderId="0" xfId="0" applyFont="1" applyFill="1" applyAlignment="1">
      <alignment vertical="center" wrapText="1"/>
    </xf>
    <xf numFmtId="0" fontId="27" fillId="8" borderId="21" xfId="0" applyFont="1" applyFill="1" applyBorder="1"/>
    <xf numFmtId="49" fontId="0" fillId="0" borderId="3" xfId="0" applyNumberFormat="1" applyBorder="1"/>
    <xf numFmtId="2" fontId="0" fillId="8" borderId="3" xfId="1" applyNumberFormat="1" applyFont="1" applyFill="1" applyBorder="1"/>
    <xf numFmtId="2" fontId="0" fillId="14" borderId="3" xfId="0" applyNumberFormat="1" applyFill="1" applyBorder="1"/>
    <xf numFmtId="0" fontId="7" fillId="0" borderId="12" xfId="0" applyFont="1" applyBorder="1" applyAlignment="1">
      <alignment horizontal="center" vertical="center"/>
    </xf>
    <xf numFmtId="0" fontId="20" fillId="0" borderId="0" xfId="2" applyFont="1" applyBorder="1" applyAlignment="1">
      <alignment horizontal="center"/>
    </xf>
    <xf numFmtId="0" fontId="20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9" fontId="0" fillId="0" borderId="0" xfId="0" applyNumberFormat="1"/>
    <xf numFmtId="0" fontId="0" fillId="13" borderId="3" xfId="0" applyFill="1" applyBorder="1"/>
    <xf numFmtId="0" fontId="15" fillId="13" borderId="3" xfId="0" applyFont="1" applyFill="1" applyBorder="1"/>
    <xf numFmtId="2" fontId="15" fillId="13" borderId="3" xfId="0" applyNumberFormat="1" applyFont="1" applyFill="1" applyBorder="1"/>
    <xf numFmtId="0" fontId="15" fillId="13" borderId="5" xfId="0" applyFont="1" applyFill="1" applyBorder="1"/>
    <xf numFmtId="2" fontId="0" fillId="13" borderId="3" xfId="0" applyNumberFormat="1" applyFill="1" applyBorder="1" applyAlignment="1">
      <alignment horizontal="right"/>
    </xf>
    <xf numFmtId="2" fontId="0" fillId="13" borderId="3" xfId="0" applyNumberFormat="1" applyFill="1" applyBorder="1"/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8" fillId="9" borderId="19" xfId="0" applyFont="1" applyFill="1" applyBorder="1" applyAlignment="1">
      <alignment horizontal="center" vertical="center"/>
    </xf>
    <xf numFmtId="0" fontId="18" fillId="9" borderId="20" xfId="0" applyFont="1" applyFill="1" applyBorder="1" applyAlignment="1">
      <alignment horizontal="center" vertical="center"/>
    </xf>
    <xf numFmtId="0" fontId="18" fillId="9" borderId="2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2" applyFont="1" applyBorder="1" applyAlignment="1">
      <alignment horizontal="center"/>
    </xf>
    <xf numFmtId="0" fontId="18" fillId="8" borderId="8" xfId="0" applyFont="1" applyFill="1" applyBorder="1" applyAlignment="1">
      <alignment horizontal="center"/>
    </xf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0" fontId="18" fillId="9" borderId="8" xfId="0" applyFont="1" applyFill="1" applyBorder="1" applyAlignment="1">
      <alignment horizontal="center"/>
    </xf>
    <xf numFmtId="0" fontId="18" fillId="9" borderId="9" xfId="0" applyFont="1" applyFill="1" applyBorder="1" applyAlignment="1">
      <alignment horizontal="center"/>
    </xf>
    <xf numFmtId="0" fontId="18" fillId="9" borderId="10" xfId="0" applyFont="1" applyFill="1" applyBorder="1" applyAlignment="1">
      <alignment horizontal="center"/>
    </xf>
    <xf numFmtId="0" fontId="27" fillId="8" borderId="19" xfId="0" applyFont="1" applyFill="1" applyBorder="1" applyAlignment="1">
      <alignment horizontal="center"/>
    </xf>
    <xf numFmtId="0" fontId="27" fillId="8" borderId="20" xfId="0" applyFont="1" applyFill="1" applyBorder="1" applyAlignment="1">
      <alignment horizontal="center"/>
    </xf>
    <xf numFmtId="0" fontId="27" fillId="8" borderId="21" xfId="0" applyFont="1" applyFill="1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20" fillId="0" borderId="0" xfId="2" applyFont="1" applyAlignment="1">
      <alignment horizontal="center"/>
    </xf>
    <xf numFmtId="0" fontId="20" fillId="0" borderId="34" xfId="2" applyFont="1" applyBorder="1" applyAlignment="1">
      <alignment horizontal="center"/>
    </xf>
    <xf numFmtId="0" fontId="14" fillId="0" borderId="32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26" fillId="6" borderId="0" xfId="0" applyFont="1" applyFill="1" applyAlignment="1">
      <alignment horizontal="center"/>
    </xf>
    <xf numFmtId="0" fontId="6" fillId="5" borderId="19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/>
    </xf>
    <xf numFmtId="0" fontId="18" fillId="8" borderId="20" xfId="0" applyFont="1" applyFill="1" applyBorder="1" applyAlignment="1">
      <alignment horizontal="center"/>
    </xf>
    <xf numFmtId="0" fontId="18" fillId="9" borderId="19" xfId="0" applyFont="1" applyFill="1" applyBorder="1" applyAlignment="1">
      <alignment horizontal="center"/>
    </xf>
    <xf numFmtId="0" fontId="18" fillId="9" borderId="20" xfId="0" applyFont="1" applyFill="1" applyBorder="1" applyAlignment="1">
      <alignment horizontal="center"/>
    </xf>
    <xf numFmtId="2" fontId="0" fillId="3" borderId="32" xfId="0" applyNumberFormat="1" applyFill="1" applyBorder="1" applyAlignment="1">
      <alignment horizontal="center" vertical="center"/>
    </xf>
    <xf numFmtId="2" fontId="0" fillId="3" borderId="7" xfId="0" applyNumberFormat="1" applyFill="1" applyBorder="1" applyAlignment="1">
      <alignment horizontal="center" vertical="center"/>
    </xf>
    <xf numFmtId="2" fontId="0" fillId="3" borderId="33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6" fillId="13" borderId="8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11" fillId="12" borderId="19" xfId="0" applyFont="1" applyFill="1" applyBorder="1" applyAlignment="1">
      <alignment horizontal="center" vertical="center"/>
    </xf>
    <xf numFmtId="0" fontId="11" fillId="12" borderId="20" xfId="0" applyFont="1" applyFill="1" applyBorder="1" applyAlignment="1">
      <alignment horizontal="center" vertical="center"/>
    </xf>
    <xf numFmtId="0" fontId="11" fillId="12" borderId="21" xfId="0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52917</xdr:colOff>
      <xdr:row>2</xdr:row>
      <xdr:rowOff>158749</xdr:rowOff>
    </xdr:from>
    <xdr:ext cx="529166" cy="666751"/>
    <xdr:pic>
      <xdr:nvPicPr>
        <xdr:cNvPr id="54" name="53 Imagen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119928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2</xdr:row>
      <xdr:rowOff>127000</xdr:rowOff>
    </xdr:from>
    <xdr:ext cx="571500" cy="677334"/>
    <xdr:pic>
      <xdr:nvPicPr>
        <xdr:cNvPr id="55" name="54 Imagen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1119610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</xdr:row>
      <xdr:rowOff>105833</xdr:rowOff>
    </xdr:from>
    <xdr:ext cx="1100667" cy="762000"/>
    <xdr:pic>
      <xdr:nvPicPr>
        <xdr:cNvPr id="56" name="55 Imagen" descr="D:\José Luis Gavidia\Logo\logo.jpg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119399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</xdr:row>
      <xdr:rowOff>95248</xdr:rowOff>
    </xdr:from>
    <xdr:to>
      <xdr:col>3</xdr:col>
      <xdr:colOff>74083</xdr:colOff>
      <xdr:row>6</xdr:row>
      <xdr:rowOff>179917</xdr:rowOff>
    </xdr:to>
    <xdr:sp macro="" textlink="">
      <xdr:nvSpPr>
        <xdr:cNvPr id="57" name="Cuadro de texto 134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63083" y="1119293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54</xdr:row>
      <xdr:rowOff>158749</xdr:rowOff>
    </xdr:from>
    <xdr:ext cx="529166" cy="666751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5503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54</xdr:row>
      <xdr:rowOff>127000</xdr:rowOff>
    </xdr:from>
    <xdr:ext cx="571500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5185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54</xdr:row>
      <xdr:rowOff>105833</xdr:rowOff>
    </xdr:from>
    <xdr:ext cx="1100667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497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54</xdr:row>
      <xdr:rowOff>95248</xdr:rowOff>
    </xdr:from>
    <xdr:to>
      <xdr:col>3</xdr:col>
      <xdr:colOff>74083</xdr:colOff>
      <xdr:row>58</xdr:row>
      <xdr:rowOff>179917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4868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104</xdr:row>
      <xdr:rowOff>158749</xdr:rowOff>
    </xdr:from>
    <xdr:ext cx="529166" cy="666751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12183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104</xdr:row>
      <xdr:rowOff>127000</xdr:rowOff>
    </xdr:from>
    <xdr:ext cx="571500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111865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104</xdr:row>
      <xdr:rowOff>105833</xdr:rowOff>
    </xdr:from>
    <xdr:ext cx="1100667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1165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95248</xdr:rowOff>
    </xdr:from>
    <xdr:to>
      <xdr:col>3</xdr:col>
      <xdr:colOff>74083</xdr:colOff>
      <xdr:row>108</xdr:row>
      <xdr:rowOff>179917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1548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154</xdr:row>
      <xdr:rowOff>158749</xdr:rowOff>
    </xdr:from>
    <xdr:ext cx="529166" cy="666751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215053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154</xdr:row>
      <xdr:rowOff>127000</xdr:rowOff>
    </xdr:from>
    <xdr:ext cx="571500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214735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154</xdr:row>
      <xdr:rowOff>105833</xdr:rowOff>
    </xdr:from>
    <xdr:ext cx="1100667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21452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95248</xdr:rowOff>
    </xdr:from>
    <xdr:to>
      <xdr:col>3</xdr:col>
      <xdr:colOff>74083</xdr:colOff>
      <xdr:row>158</xdr:row>
      <xdr:rowOff>179917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4418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204</xdr:row>
      <xdr:rowOff>158749</xdr:rowOff>
    </xdr:from>
    <xdr:ext cx="529166" cy="666751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317923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204</xdr:row>
      <xdr:rowOff>127000</xdr:rowOff>
    </xdr:from>
    <xdr:ext cx="571500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317605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204</xdr:row>
      <xdr:rowOff>105833</xdr:rowOff>
    </xdr:from>
    <xdr:ext cx="1100667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31739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95248</xdr:rowOff>
    </xdr:from>
    <xdr:to>
      <xdr:col>3</xdr:col>
      <xdr:colOff>74083</xdr:colOff>
      <xdr:row>208</xdr:row>
      <xdr:rowOff>179917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17288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254</xdr:row>
      <xdr:rowOff>158749</xdr:rowOff>
    </xdr:from>
    <xdr:ext cx="529166" cy="666751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420793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254</xdr:row>
      <xdr:rowOff>127000</xdr:rowOff>
    </xdr:from>
    <xdr:ext cx="571500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420475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254</xdr:row>
      <xdr:rowOff>105833</xdr:rowOff>
    </xdr:from>
    <xdr:ext cx="1100667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42026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95248</xdr:rowOff>
    </xdr:from>
    <xdr:to>
      <xdr:col>3</xdr:col>
      <xdr:colOff>74083</xdr:colOff>
      <xdr:row>258</xdr:row>
      <xdr:rowOff>179917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0158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304</xdr:row>
      <xdr:rowOff>158749</xdr:rowOff>
    </xdr:from>
    <xdr:ext cx="529166" cy="666751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523663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304</xdr:row>
      <xdr:rowOff>127000</xdr:rowOff>
    </xdr:from>
    <xdr:ext cx="571500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523345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304</xdr:row>
      <xdr:rowOff>105833</xdr:rowOff>
    </xdr:from>
    <xdr:ext cx="1100667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52313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95248</xdr:rowOff>
    </xdr:from>
    <xdr:to>
      <xdr:col>3</xdr:col>
      <xdr:colOff>74083</xdr:colOff>
      <xdr:row>308</xdr:row>
      <xdr:rowOff>179917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3028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354</xdr:row>
      <xdr:rowOff>158749</xdr:rowOff>
    </xdr:from>
    <xdr:ext cx="529166" cy="666751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626533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354</xdr:row>
      <xdr:rowOff>127000</xdr:rowOff>
    </xdr:from>
    <xdr:ext cx="571500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626215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354</xdr:row>
      <xdr:rowOff>105833</xdr:rowOff>
    </xdr:from>
    <xdr:ext cx="1100667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2600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95248</xdr:rowOff>
    </xdr:from>
    <xdr:to>
      <xdr:col>3</xdr:col>
      <xdr:colOff>74083</xdr:colOff>
      <xdr:row>358</xdr:row>
      <xdr:rowOff>179917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25898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404</xdr:row>
      <xdr:rowOff>158749</xdr:rowOff>
    </xdr:from>
    <xdr:ext cx="529166" cy="666751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626533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404</xdr:row>
      <xdr:rowOff>127000</xdr:rowOff>
    </xdr:from>
    <xdr:ext cx="571500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626215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404</xdr:row>
      <xdr:rowOff>105833</xdr:rowOff>
    </xdr:from>
    <xdr:ext cx="1100667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2600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95248</xdr:rowOff>
    </xdr:from>
    <xdr:to>
      <xdr:col>3</xdr:col>
      <xdr:colOff>74083</xdr:colOff>
      <xdr:row>408</xdr:row>
      <xdr:rowOff>179917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25898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454</xdr:row>
      <xdr:rowOff>158749</xdr:rowOff>
    </xdr:from>
    <xdr:ext cx="529166" cy="666751"/>
    <xdr:pic>
      <xdr:nvPicPr>
        <xdr:cNvPr id="38" name="37 Imagen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83227332"/>
          <a:ext cx="529166" cy="6667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454</xdr:row>
      <xdr:rowOff>127000</xdr:rowOff>
    </xdr:from>
    <xdr:ext cx="571500" cy="677334"/>
    <xdr:pic>
      <xdr:nvPicPr>
        <xdr:cNvPr id="39" name="38 Imagen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83195583"/>
          <a:ext cx="5715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454</xdr:row>
      <xdr:rowOff>105833</xdr:rowOff>
    </xdr:from>
    <xdr:ext cx="1100667" cy="762000"/>
    <xdr:pic>
      <xdr:nvPicPr>
        <xdr:cNvPr id="40" name="39 Imagen" descr="D:\José Luis Gavidia\Logo\logo.jpg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83174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454</xdr:row>
      <xdr:rowOff>95248</xdr:rowOff>
    </xdr:from>
    <xdr:to>
      <xdr:col>3</xdr:col>
      <xdr:colOff>74083</xdr:colOff>
      <xdr:row>458</xdr:row>
      <xdr:rowOff>179917</xdr:rowOff>
    </xdr:to>
    <xdr:sp macro="" textlink="">
      <xdr:nvSpPr>
        <xdr:cNvPr id="41" name="Cuadro de texto 134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63083" y="83163831"/>
          <a:ext cx="4995333" cy="97366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84666</xdr:colOff>
      <xdr:row>1</xdr:row>
      <xdr:rowOff>158749</xdr:rowOff>
    </xdr:from>
    <xdr:ext cx="582083" cy="687917"/>
    <xdr:pic>
      <xdr:nvPicPr>
        <xdr:cNvPr id="58" name="57 Imagen">
          <a:extLst>
            <a:ext uri="{FF2B5EF4-FFF2-40B4-BE49-F238E27FC236}">
              <a16:creationId xmlns:a16="http://schemas.microsoft.com/office/drawing/2014/main" xmlns="" id="{00000000-0008-0000-0A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115485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656166</xdr:colOff>
      <xdr:row>1</xdr:row>
      <xdr:rowOff>148166</xdr:rowOff>
    </xdr:from>
    <xdr:ext cx="592667" cy="677334"/>
    <xdr:pic>
      <xdr:nvPicPr>
        <xdr:cNvPr id="59" name="58 Imagen">
          <a:extLst>
            <a:ext uri="{FF2B5EF4-FFF2-40B4-BE49-F238E27FC236}">
              <a16:creationId xmlns:a16="http://schemas.microsoft.com/office/drawing/2014/main" xmlns="" id="{00000000-0008-0000-0A00-00003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11547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1100666</xdr:colOff>
      <xdr:row>1</xdr:row>
      <xdr:rowOff>116417</xdr:rowOff>
    </xdr:from>
    <xdr:ext cx="1195917" cy="762000"/>
    <xdr:pic>
      <xdr:nvPicPr>
        <xdr:cNvPr id="60" name="59 Imagen" descr="D:\José Luis Gavidia\Logo\logo.jpg">
          <a:extLst>
            <a:ext uri="{FF2B5EF4-FFF2-40B4-BE49-F238E27FC236}">
              <a16:creationId xmlns:a16="http://schemas.microsoft.com/office/drawing/2014/main" xmlns="" id="{00000000-0008-0000-0A00-00003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6053666" y="115443000"/>
          <a:ext cx="119591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1047750</xdr:colOff>
      <xdr:row>1</xdr:row>
      <xdr:rowOff>63499</xdr:rowOff>
    </xdr:from>
    <xdr:to>
      <xdr:col>3</xdr:col>
      <xdr:colOff>158750</xdr:colOff>
      <xdr:row>5</xdr:row>
      <xdr:rowOff>88687</xdr:rowOff>
    </xdr:to>
    <xdr:sp macro="" textlink="">
      <xdr:nvSpPr>
        <xdr:cNvPr id="61" name="Cuadro de texto 134">
          <a:extLst>
            <a:ext uri="{FF2B5EF4-FFF2-40B4-BE49-F238E27FC236}">
              <a16:creationId xmlns:a16="http://schemas.microsoft.com/office/drawing/2014/main" xmlns="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1047750" y="115390082"/>
          <a:ext cx="521758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84666</xdr:colOff>
      <xdr:row>52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35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656166</xdr:colOff>
      <xdr:row>52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349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1100666</xdr:colOff>
      <xdr:row>52</xdr:row>
      <xdr:rowOff>116417</xdr:rowOff>
    </xdr:from>
    <xdr:ext cx="1195917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6053666" y="317500"/>
          <a:ext cx="119591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1047750</xdr:colOff>
      <xdr:row>52</xdr:row>
      <xdr:rowOff>63499</xdr:rowOff>
    </xdr:from>
    <xdr:to>
      <xdr:col>3</xdr:col>
      <xdr:colOff>158750</xdr:colOff>
      <xdr:row>56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1047750" y="264582"/>
          <a:ext cx="521758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84666</xdr:colOff>
      <xdr:row>104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10964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656166</xdr:colOff>
      <xdr:row>104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10953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1100666</xdr:colOff>
      <xdr:row>104</xdr:row>
      <xdr:rowOff>116417</xdr:rowOff>
    </xdr:from>
    <xdr:ext cx="1195917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6053666" y="10922000"/>
          <a:ext cx="119591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1047750</xdr:colOff>
      <xdr:row>104</xdr:row>
      <xdr:rowOff>63499</xdr:rowOff>
    </xdr:from>
    <xdr:to>
      <xdr:col>3</xdr:col>
      <xdr:colOff>158750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1047750" y="10869082"/>
          <a:ext cx="521758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84666</xdr:colOff>
      <xdr:row>154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A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21759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656166</xdr:colOff>
      <xdr:row>154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A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21748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1100666</xdr:colOff>
      <xdr:row>154</xdr:row>
      <xdr:rowOff>116417</xdr:rowOff>
    </xdr:from>
    <xdr:ext cx="1195917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6053666" y="21717000"/>
          <a:ext cx="119591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1047750</xdr:colOff>
      <xdr:row>154</xdr:row>
      <xdr:rowOff>63499</xdr:rowOff>
    </xdr:from>
    <xdr:to>
      <xdr:col>3</xdr:col>
      <xdr:colOff>158750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1047750" y="21664082"/>
          <a:ext cx="521758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84666</xdr:colOff>
      <xdr:row>204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A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32046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656166</xdr:colOff>
      <xdr:row>204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A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32035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1100666</xdr:colOff>
      <xdr:row>204</xdr:row>
      <xdr:rowOff>116417</xdr:rowOff>
    </xdr:from>
    <xdr:ext cx="1195917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6053666" y="32004000"/>
          <a:ext cx="119591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1047750</xdr:colOff>
      <xdr:row>204</xdr:row>
      <xdr:rowOff>63499</xdr:rowOff>
    </xdr:from>
    <xdr:to>
      <xdr:col>3</xdr:col>
      <xdr:colOff>158750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1047750" y="31951082"/>
          <a:ext cx="521758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84666</xdr:colOff>
      <xdr:row>254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A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42333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656166</xdr:colOff>
      <xdr:row>254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4232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1100666</xdr:colOff>
      <xdr:row>254</xdr:row>
      <xdr:rowOff>116417</xdr:rowOff>
    </xdr:from>
    <xdr:ext cx="1195917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6053666" y="42291000"/>
          <a:ext cx="119591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1047750</xdr:colOff>
      <xdr:row>254</xdr:row>
      <xdr:rowOff>63499</xdr:rowOff>
    </xdr:from>
    <xdr:to>
      <xdr:col>3</xdr:col>
      <xdr:colOff>158750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1047750" y="42238082"/>
          <a:ext cx="521758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84666</xdr:colOff>
      <xdr:row>304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52620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656166</xdr:colOff>
      <xdr:row>304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A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52609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1100666</xdr:colOff>
      <xdr:row>304</xdr:row>
      <xdr:rowOff>116417</xdr:rowOff>
    </xdr:from>
    <xdr:ext cx="1195917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A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6053666" y="52578000"/>
          <a:ext cx="119591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1047750</xdr:colOff>
      <xdr:row>304</xdr:row>
      <xdr:rowOff>63499</xdr:rowOff>
    </xdr:from>
    <xdr:to>
      <xdr:col>3</xdr:col>
      <xdr:colOff>158750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1047750" y="52525082"/>
          <a:ext cx="521758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84666</xdr:colOff>
      <xdr:row>354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62907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656166</xdr:colOff>
      <xdr:row>354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62896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1100666</xdr:colOff>
      <xdr:row>354</xdr:row>
      <xdr:rowOff>116417</xdr:rowOff>
    </xdr:from>
    <xdr:ext cx="1195917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A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6053666" y="62865000"/>
          <a:ext cx="119591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1047750</xdr:colOff>
      <xdr:row>354</xdr:row>
      <xdr:rowOff>63499</xdr:rowOff>
    </xdr:from>
    <xdr:to>
      <xdr:col>3</xdr:col>
      <xdr:colOff>158750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1047750" y="62812082"/>
          <a:ext cx="521758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84666</xdr:colOff>
      <xdr:row>404</xdr:row>
      <xdr:rowOff>158749</xdr:rowOff>
    </xdr:from>
    <xdr:ext cx="582083" cy="687917"/>
    <xdr:pic>
      <xdr:nvPicPr>
        <xdr:cNvPr id="38" name="37 Imagen">
          <a:extLst>
            <a:ext uri="{FF2B5EF4-FFF2-40B4-BE49-F238E27FC236}">
              <a16:creationId xmlns:a16="http://schemas.microsoft.com/office/drawing/2014/main" xmlns="" id="{00000000-0008-0000-0A00-00002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62907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656166</xdr:colOff>
      <xdr:row>404</xdr:row>
      <xdr:rowOff>148166</xdr:rowOff>
    </xdr:from>
    <xdr:ext cx="592667" cy="677334"/>
    <xdr:pic>
      <xdr:nvPicPr>
        <xdr:cNvPr id="39" name="38 Imagen">
          <a:extLst>
            <a:ext uri="{FF2B5EF4-FFF2-40B4-BE49-F238E27FC236}">
              <a16:creationId xmlns:a16="http://schemas.microsoft.com/office/drawing/2014/main" xmlns="" id="{00000000-0008-0000-0A00-00002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166" y="62896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1100666</xdr:colOff>
      <xdr:row>404</xdr:row>
      <xdr:rowOff>116417</xdr:rowOff>
    </xdr:from>
    <xdr:ext cx="1195917" cy="762000"/>
    <xdr:pic>
      <xdr:nvPicPr>
        <xdr:cNvPr id="40" name="39 Imagen" descr="D:\José Luis Gavidia\Logo\logo.jpg">
          <a:extLst>
            <a:ext uri="{FF2B5EF4-FFF2-40B4-BE49-F238E27FC236}">
              <a16:creationId xmlns:a16="http://schemas.microsoft.com/office/drawing/2014/main" xmlns="" id="{00000000-0008-0000-0A00-00002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6053666" y="62865000"/>
          <a:ext cx="119591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1047750</xdr:colOff>
      <xdr:row>404</xdr:row>
      <xdr:rowOff>63499</xdr:rowOff>
    </xdr:from>
    <xdr:to>
      <xdr:col>3</xdr:col>
      <xdr:colOff>158750</xdr:colOff>
      <xdr:row>408</xdr:row>
      <xdr:rowOff>88687</xdr:rowOff>
    </xdr:to>
    <xdr:sp macro="" textlink="">
      <xdr:nvSpPr>
        <xdr:cNvPr id="41" name="Cuadro de texto 134">
          <a:extLst>
            <a:ext uri="{FF2B5EF4-FFF2-40B4-BE49-F238E27FC236}">
              <a16:creationId xmlns:a16="http://schemas.microsoft.com/office/drawing/2014/main" xmlns="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1047750" y="62812082"/>
          <a:ext cx="521758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52917</xdr:colOff>
      <xdr:row>1</xdr:row>
      <xdr:rowOff>148166</xdr:rowOff>
    </xdr:from>
    <xdr:ext cx="582083" cy="687917"/>
    <xdr:pic>
      <xdr:nvPicPr>
        <xdr:cNvPr id="54" name="53 Imagen">
          <a:extLst>
            <a:ext uri="{FF2B5EF4-FFF2-40B4-BE49-F238E27FC236}">
              <a16:creationId xmlns:a16="http://schemas.microsoft.com/office/drawing/2014/main" xmlns="" id="{00000000-0008-0000-0B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131252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1</xdr:row>
      <xdr:rowOff>148166</xdr:rowOff>
    </xdr:from>
    <xdr:ext cx="592667" cy="677334"/>
    <xdr:pic>
      <xdr:nvPicPr>
        <xdr:cNvPr id="55" name="54 Imagen">
          <a:extLst>
            <a:ext uri="{FF2B5EF4-FFF2-40B4-BE49-F238E27FC236}">
              <a16:creationId xmlns:a16="http://schemas.microsoft.com/office/drawing/2014/main" xmlns="" id="{00000000-0008-0000-0B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113125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1121834</xdr:colOff>
      <xdr:row>1</xdr:row>
      <xdr:rowOff>116416</xdr:rowOff>
    </xdr:from>
    <xdr:ext cx="1185333" cy="762000"/>
    <xdr:pic>
      <xdr:nvPicPr>
        <xdr:cNvPr id="56" name="55 Imagen" descr="D:\José Luis Gavidia\Logo\logo.jpg">
          <a:extLst>
            <a:ext uri="{FF2B5EF4-FFF2-40B4-BE49-F238E27FC236}">
              <a16:creationId xmlns:a16="http://schemas.microsoft.com/office/drawing/2014/main" xmlns="" id="{00000000-0008-0000-0B00-00003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52584" y="113093499"/>
          <a:ext cx="11853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1026583</xdr:colOff>
      <xdr:row>1</xdr:row>
      <xdr:rowOff>63499</xdr:rowOff>
    </xdr:from>
    <xdr:to>
      <xdr:col>3</xdr:col>
      <xdr:colOff>137583</xdr:colOff>
      <xdr:row>5</xdr:row>
      <xdr:rowOff>88687</xdr:rowOff>
    </xdr:to>
    <xdr:sp macro="" textlink="">
      <xdr:nvSpPr>
        <xdr:cNvPr id="57" name="Cuadro de texto 134">
          <a:extLst>
            <a:ext uri="{FF2B5EF4-FFF2-40B4-BE49-F238E27FC236}">
              <a16:creationId xmlns:a16="http://schemas.microsoft.com/office/drawing/2014/main" xmlns="" id="{00000000-0008-0000-0B00-000039000000}"/>
            </a:ext>
          </a:extLst>
        </xdr:cNvPr>
        <xdr:cNvSpPr txBox="1">
          <a:spLocks noChangeArrowheads="1"/>
        </xdr:cNvSpPr>
      </xdr:nvSpPr>
      <xdr:spPr bwMode="auto">
        <a:xfrm>
          <a:off x="1026583" y="113040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54</xdr:row>
      <xdr:rowOff>148166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3492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54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349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1121834</xdr:colOff>
      <xdr:row>54</xdr:row>
      <xdr:rowOff>116416</xdr:rowOff>
    </xdr:from>
    <xdr:ext cx="11853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52584" y="317499"/>
          <a:ext cx="11853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1026583</xdr:colOff>
      <xdr:row>54</xdr:row>
      <xdr:rowOff>63499</xdr:rowOff>
    </xdr:from>
    <xdr:to>
      <xdr:col>3</xdr:col>
      <xdr:colOff>137583</xdr:colOff>
      <xdr:row>58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1026583" y="264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104</xdr:row>
      <xdr:rowOff>148166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B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12077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104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B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11207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1121834</xdr:colOff>
      <xdr:row>104</xdr:row>
      <xdr:rowOff>116416</xdr:rowOff>
    </xdr:from>
    <xdr:ext cx="11853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B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52584" y="11175999"/>
          <a:ext cx="11853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1026583</xdr:colOff>
      <xdr:row>104</xdr:row>
      <xdr:rowOff>63499</xdr:rowOff>
    </xdr:from>
    <xdr:to>
      <xdr:col>3</xdr:col>
      <xdr:colOff>137583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B00-00000D000000}"/>
            </a:ext>
          </a:extLst>
        </xdr:cNvPr>
        <xdr:cNvSpPr txBox="1">
          <a:spLocks noChangeArrowheads="1"/>
        </xdr:cNvSpPr>
      </xdr:nvSpPr>
      <xdr:spPr bwMode="auto">
        <a:xfrm>
          <a:off x="1026583" y="11123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154</xdr:row>
      <xdr:rowOff>148166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B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214947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154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B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2149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1121834</xdr:colOff>
      <xdr:row>154</xdr:row>
      <xdr:rowOff>116416</xdr:rowOff>
    </xdr:from>
    <xdr:ext cx="11853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B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52584" y="21462999"/>
          <a:ext cx="11853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1026583</xdr:colOff>
      <xdr:row>154</xdr:row>
      <xdr:rowOff>63499</xdr:rowOff>
    </xdr:from>
    <xdr:to>
      <xdr:col>3</xdr:col>
      <xdr:colOff>137583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B00-000011000000}"/>
            </a:ext>
          </a:extLst>
        </xdr:cNvPr>
        <xdr:cNvSpPr txBox="1">
          <a:spLocks noChangeArrowheads="1"/>
        </xdr:cNvSpPr>
      </xdr:nvSpPr>
      <xdr:spPr bwMode="auto">
        <a:xfrm>
          <a:off x="1026583" y="2141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204</xdr:row>
      <xdr:rowOff>148166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B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317817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204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B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31781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1121834</xdr:colOff>
      <xdr:row>204</xdr:row>
      <xdr:rowOff>116416</xdr:rowOff>
    </xdr:from>
    <xdr:ext cx="11853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B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52584" y="31749999"/>
          <a:ext cx="11853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1026583</xdr:colOff>
      <xdr:row>204</xdr:row>
      <xdr:rowOff>63499</xdr:rowOff>
    </xdr:from>
    <xdr:to>
      <xdr:col>3</xdr:col>
      <xdr:colOff>137583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B00-000015000000}"/>
            </a:ext>
          </a:extLst>
        </xdr:cNvPr>
        <xdr:cNvSpPr txBox="1">
          <a:spLocks noChangeArrowheads="1"/>
        </xdr:cNvSpPr>
      </xdr:nvSpPr>
      <xdr:spPr bwMode="auto">
        <a:xfrm>
          <a:off x="1026583" y="31697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254</xdr:row>
      <xdr:rowOff>148166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B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420687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254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B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42068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1121834</xdr:colOff>
      <xdr:row>254</xdr:row>
      <xdr:rowOff>116416</xdr:rowOff>
    </xdr:from>
    <xdr:ext cx="11853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B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52584" y="42036999"/>
          <a:ext cx="11853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1026583</xdr:colOff>
      <xdr:row>254</xdr:row>
      <xdr:rowOff>63499</xdr:rowOff>
    </xdr:from>
    <xdr:to>
      <xdr:col>3</xdr:col>
      <xdr:colOff>137583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B00-000019000000}"/>
            </a:ext>
          </a:extLst>
        </xdr:cNvPr>
        <xdr:cNvSpPr txBox="1">
          <a:spLocks noChangeArrowheads="1"/>
        </xdr:cNvSpPr>
      </xdr:nvSpPr>
      <xdr:spPr bwMode="auto">
        <a:xfrm>
          <a:off x="1026583" y="41984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304</xdr:row>
      <xdr:rowOff>148166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B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523557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304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B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52355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1121834</xdr:colOff>
      <xdr:row>304</xdr:row>
      <xdr:rowOff>116416</xdr:rowOff>
    </xdr:from>
    <xdr:ext cx="11853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B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52584" y="52323999"/>
          <a:ext cx="11853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1026583</xdr:colOff>
      <xdr:row>304</xdr:row>
      <xdr:rowOff>63499</xdr:rowOff>
    </xdr:from>
    <xdr:to>
      <xdr:col>3</xdr:col>
      <xdr:colOff>137583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B00-00001D000000}"/>
            </a:ext>
          </a:extLst>
        </xdr:cNvPr>
        <xdr:cNvSpPr txBox="1">
          <a:spLocks noChangeArrowheads="1"/>
        </xdr:cNvSpPr>
      </xdr:nvSpPr>
      <xdr:spPr bwMode="auto">
        <a:xfrm>
          <a:off x="1026583" y="52271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354</xdr:row>
      <xdr:rowOff>148166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B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626427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354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B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6264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1121834</xdr:colOff>
      <xdr:row>354</xdr:row>
      <xdr:rowOff>116416</xdr:rowOff>
    </xdr:from>
    <xdr:ext cx="11853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B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52584" y="62610999"/>
          <a:ext cx="11853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1026583</xdr:colOff>
      <xdr:row>354</xdr:row>
      <xdr:rowOff>63499</xdr:rowOff>
    </xdr:from>
    <xdr:to>
      <xdr:col>3</xdr:col>
      <xdr:colOff>137583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B00-000021000000}"/>
            </a:ext>
          </a:extLst>
        </xdr:cNvPr>
        <xdr:cNvSpPr txBox="1">
          <a:spLocks noChangeArrowheads="1"/>
        </xdr:cNvSpPr>
      </xdr:nvSpPr>
      <xdr:spPr bwMode="auto">
        <a:xfrm>
          <a:off x="1026583" y="62558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404</xdr:row>
      <xdr:rowOff>148166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B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626427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404</xdr:row>
      <xdr:rowOff>148166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B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6264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1121834</xdr:colOff>
      <xdr:row>404</xdr:row>
      <xdr:rowOff>116416</xdr:rowOff>
    </xdr:from>
    <xdr:ext cx="11853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B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52584" y="62610999"/>
          <a:ext cx="11853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1026583</xdr:colOff>
      <xdr:row>404</xdr:row>
      <xdr:rowOff>63499</xdr:rowOff>
    </xdr:from>
    <xdr:to>
      <xdr:col>3</xdr:col>
      <xdr:colOff>137583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B00-000025000000}"/>
            </a:ext>
          </a:extLst>
        </xdr:cNvPr>
        <xdr:cNvSpPr txBox="1">
          <a:spLocks noChangeArrowheads="1"/>
        </xdr:cNvSpPr>
      </xdr:nvSpPr>
      <xdr:spPr bwMode="auto">
        <a:xfrm>
          <a:off x="1026583" y="62558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158749</xdr:rowOff>
    </xdr:from>
    <xdr:ext cx="582083" cy="687917"/>
    <xdr:pic>
      <xdr:nvPicPr>
        <xdr:cNvPr id="38" name="37 Imagen">
          <a:extLst>
            <a:ext uri="{FF2B5EF4-FFF2-40B4-BE49-F238E27FC236}">
              <a16:creationId xmlns:a16="http://schemas.microsoft.com/office/drawing/2014/main" xmlns="" id="{00000000-0008-0000-0C00-00002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357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</xdr:row>
      <xdr:rowOff>148166</xdr:rowOff>
    </xdr:from>
    <xdr:ext cx="592667" cy="677334"/>
    <xdr:pic>
      <xdr:nvPicPr>
        <xdr:cNvPr id="39" name="38 Imagen">
          <a:extLst>
            <a:ext uri="{FF2B5EF4-FFF2-40B4-BE49-F238E27FC236}">
              <a16:creationId xmlns:a16="http://schemas.microsoft.com/office/drawing/2014/main" xmlns="" id="{00000000-0008-0000-0C00-00002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282516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</xdr:row>
      <xdr:rowOff>105833</xdr:rowOff>
    </xdr:from>
    <xdr:ext cx="1248833" cy="762000"/>
    <xdr:pic>
      <xdr:nvPicPr>
        <xdr:cNvPr id="40" name="39 Imagen" descr="D:\José Luis Gavidia\Logo\logo.jpg">
          <a:extLst>
            <a:ext uri="{FF2B5EF4-FFF2-40B4-BE49-F238E27FC236}">
              <a16:creationId xmlns:a16="http://schemas.microsoft.com/office/drawing/2014/main" xmlns="" id="{00000000-0008-0000-0C00-00002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8278283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41" name="Cuadro de texto 134">
          <a:extLst>
            <a:ext uri="{FF2B5EF4-FFF2-40B4-BE49-F238E27FC236}">
              <a16:creationId xmlns:a16="http://schemas.microsoft.com/office/drawing/2014/main" xmlns="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963083" y="82740499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54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54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49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54</xdr:row>
      <xdr:rowOff>105833</xdr:rowOff>
    </xdr:from>
    <xdr:ext cx="12488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306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54</xdr:row>
      <xdr:rowOff>63499</xdr:rowOff>
    </xdr:from>
    <xdr:to>
      <xdr:col>3</xdr:col>
      <xdr:colOff>74083</xdr:colOff>
      <xdr:row>58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104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18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104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207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104</xdr:row>
      <xdr:rowOff>105833</xdr:rowOff>
    </xdr:from>
    <xdr:ext cx="12488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1116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123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154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C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5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154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C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149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154</xdr:row>
      <xdr:rowOff>105833</xdr:rowOff>
    </xdr:from>
    <xdr:ext cx="12488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C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2145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41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204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C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92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204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C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1781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204</xdr:row>
      <xdr:rowOff>105833</xdr:rowOff>
    </xdr:from>
    <xdr:ext cx="12488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C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31739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1697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254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C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79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254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C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2068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254</xdr:row>
      <xdr:rowOff>105833</xdr:rowOff>
    </xdr:from>
    <xdr:ext cx="12488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C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42026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1984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304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C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66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304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C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2355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304</xdr:row>
      <xdr:rowOff>105833</xdr:rowOff>
    </xdr:from>
    <xdr:ext cx="12488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C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52313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271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354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C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66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354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C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2355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354</xdr:row>
      <xdr:rowOff>105833</xdr:rowOff>
    </xdr:from>
    <xdr:ext cx="12488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C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52313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52271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404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C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940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404</xdr:row>
      <xdr:rowOff>148166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C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2929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404</xdr:row>
      <xdr:rowOff>105833</xdr:rowOff>
    </xdr:from>
    <xdr:ext cx="12488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C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72887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72845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454</xdr:row>
      <xdr:rowOff>158749</xdr:rowOff>
    </xdr:from>
    <xdr:ext cx="582083" cy="687917"/>
    <xdr:pic>
      <xdr:nvPicPr>
        <xdr:cNvPr id="42" name="41 Imagen">
          <a:extLst>
            <a:ext uri="{FF2B5EF4-FFF2-40B4-BE49-F238E27FC236}">
              <a16:creationId xmlns:a16="http://schemas.microsoft.com/office/drawing/2014/main" xmlns="" id="{00000000-0008-0000-0C00-00002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940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454</xdr:row>
      <xdr:rowOff>148166</xdr:rowOff>
    </xdr:from>
    <xdr:ext cx="592667" cy="677334"/>
    <xdr:pic>
      <xdr:nvPicPr>
        <xdr:cNvPr id="43" name="42 Imagen">
          <a:extLst>
            <a:ext uri="{FF2B5EF4-FFF2-40B4-BE49-F238E27FC236}">
              <a16:creationId xmlns:a16="http://schemas.microsoft.com/office/drawing/2014/main" xmlns="" id="{00000000-0008-0000-0C00-00002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2929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454</xdr:row>
      <xdr:rowOff>105833</xdr:rowOff>
    </xdr:from>
    <xdr:ext cx="1248833" cy="762000"/>
    <xdr:pic>
      <xdr:nvPicPr>
        <xdr:cNvPr id="44" name="43 Imagen" descr="D:\José Luis Gavidia\Logo\logo.jpg">
          <a:extLst>
            <a:ext uri="{FF2B5EF4-FFF2-40B4-BE49-F238E27FC236}">
              <a16:creationId xmlns:a16="http://schemas.microsoft.com/office/drawing/2014/main" xmlns="" id="{00000000-0008-0000-0C00-00002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72887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454</xdr:row>
      <xdr:rowOff>63499</xdr:rowOff>
    </xdr:from>
    <xdr:to>
      <xdr:col>3</xdr:col>
      <xdr:colOff>74083</xdr:colOff>
      <xdr:row>458</xdr:row>
      <xdr:rowOff>88687</xdr:rowOff>
    </xdr:to>
    <xdr:sp macro="" textlink="">
      <xdr:nvSpPr>
        <xdr:cNvPr id="45" name="Cuadro de texto 134">
          <a:extLst>
            <a:ext uri="{FF2B5EF4-FFF2-40B4-BE49-F238E27FC236}">
              <a16:creationId xmlns:a16="http://schemas.microsoft.com/office/drawing/2014/main" xmlns="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963083" y="72845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158749</xdr:rowOff>
    </xdr:from>
    <xdr:ext cx="582083" cy="687917"/>
    <xdr:pic>
      <xdr:nvPicPr>
        <xdr:cNvPr id="58" name="57 Imagen">
          <a:extLst>
            <a:ext uri="{FF2B5EF4-FFF2-40B4-BE49-F238E27FC236}">
              <a16:creationId xmlns:a16="http://schemas.microsoft.com/office/drawing/2014/main" xmlns="" id="{00000000-0008-0000-0D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088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</xdr:row>
      <xdr:rowOff>148166</xdr:rowOff>
    </xdr:from>
    <xdr:ext cx="592667" cy="677334"/>
    <xdr:pic>
      <xdr:nvPicPr>
        <xdr:cNvPr id="59" name="58 Imagen">
          <a:extLst>
            <a:ext uri="{FF2B5EF4-FFF2-40B4-BE49-F238E27FC236}">
              <a16:creationId xmlns:a16="http://schemas.microsoft.com/office/drawing/2014/main" xmlns="" id="{00000000-0008-0000-0D00-00003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077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</xdr:row>
      <xdr:rowOff>105833</xdr:rowOff>
    </xdr:from>
    <xdr:ext cx="1248833" cy="762000"/>
    <xdr:pic>
      <xdr:nvPicPr>
        <xdr:cNvPr id="60" name="59 Imagen" descr="D:\José Luis Gavidia\Logo\logo.jpg">
          <a:extLst>
            <a:ext uri="{FF2B5EF4-FFF2-40B4-BE49-F238E27FC236}">
              <a16:creationId xmlns:a16="http://schemas.microsoft.com/office/drawing/2014/main" xmlns="" id="{00000000-0008-0000-0D00-00003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37250" y="11403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61" name="Cuadro de texto 134">
          <a:extLst>
            <a:ext uri="{FF2B5EF4-FFF2-40B4-BE49-F238E27FC236}">
              <a16:creationId xmlns:a16="http://schemas.microsoft.com/office/drawing/2014/main" xmlns="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963083" y="113993082"/>
          <a:ext cx="519641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54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54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49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54</xdr:row>
      <xdr:rowOff>105833</xdr:rowOff>
    </xdr:from>
    <xdr:ext cx="12488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37250" y="306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54</xdr:row>
      <xdr:rowOff>63499</xdr:rowOff>
    </xdr:from>
    <xdr:to>
      <xdr:col>3</xdr:col>
      <xdr:colOff>74083</xdr:colOff>
      <xdr:row>58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519641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109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D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18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109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D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207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109</xdr:row>
      <xdr:rowOff>105833</xdr:rowOff>
    </xdr:from>
    <xdr:ext cx="12488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D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37250" y="1116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109</xdr:row>
      <xdr:rowOff>63499</xdr:rowOff>
    </xdr:from>
    <xdr:to>
      <xdr:col>3</xdr:col>
      <xdr:colOff>74083</xdr:colOff>
      <xdr:row>113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123082"/>
          <a:ext cx="519641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159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D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57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159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D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2447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159</xdr:row>
      <xdr:rowOff>105833</xdr:rowOff>
    </xdr:from>
    <xdr:ext cx="12488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D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37250" y="22404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159</xdr:row>
      <xdr:rowOff>63499</xdr:rowOff>
    </xdr:from>
    <xdr:to>
      <xdr:col>3</xdr:col>
      <xdr:colOff>74083</xdr:colOff>
      <xdr:row>163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D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2362582"/>
          <a:ext cx="519641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209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D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44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209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D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2734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209</xdr:row>
      <xdr:rowOff>105833</xdr:rowOff>
    </xdr:from>
    <xdr:ext cx="12488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D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37250" y="32691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209</xdr:row>
      <xdr:rowOff>63499</xdr:rowOff>
    </xdr:from>
    <xdr:to>
      <xdr:col>3</xdr:col>
      <xdr:colOff>74083</xdr:colOff>
      <xdr:row>213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2649582"/>
          <a:ext cx="519641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259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D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31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259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D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3021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259</xdr:row>
      <xdr:rowOff>105833</xdr:rowOff>
    </xdr:from>
    <xdr:ext cx="12488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D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37250" y="42978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259</xdr:row>
      <xdr:rowOff>63499</xdr:rowOff>
    </xdr:from>
    <xdr:to>
      <xdr:col>3</xdr:col>
      <xdr:colOff>74083</xdr:colOff>
      <xdr:row>263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936582"/>
          <a:ext cx="519641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309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D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18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309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D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3308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309</xdr:row>
      <xdr:rowOff>105833</xdr:rowOff>
    </xdr:from>
    <xdr:ext cx="12488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D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37250" y="53265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309</xdr:row>
      <xdr:rowOff>63499</xdr:rowOff>
    </xdr:from>
    <xdr:to>
      <xdr:col>3</xdr:col>
      <xdr:colOff>74083</xdr:colOff>
      <xdr:row>313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3223582"/>
          <a:ext cx="519641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359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D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05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359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D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3595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359</xdr:row>
      <xdr:rowOff>105833</xdr:rowOff>
    </xdr:from>
    <xdr:ext cx="12488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D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37250" y="63552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359</xdr:row>
      <xdr:rowOff>63499</xdr:rowOff>
    </xdr:from>
    <xdr:to>
      <xdr:col>3</xdr:col>
      <xdr:colOff>74083</xdr:colOff>
      <xdr:row>363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3510582"/>
          <a:ext cx="519641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409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D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05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409</xdr:row>
      <xdr:rowOff>148166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D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3595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409</xdr:row>
      <xdr:rowOff>105833</xdr:rowOff>
    </xdr:from>
    <xdr:ext cx="12488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D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37250" y="63552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409</xdr:row>
      <xdr:rowOff>63499</xdr:rowOff>
    </xdr:from>
    <xdr:to>
      <xdr:col>3</xdr:col>
      <xdr:colOff>74083</xdr:colOff>
      <xdr:row>413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3510582"/>
          <a:ext cx="519641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158749</xdr:rowOff>
    </xdr:from>
    <xdr:ext cx="582083" cy="687917"/>
    <xdr:pic>
      <xdr:nvPicPr>
        <xdr:cNvPr id="58" name="57 Imagen">
          <a:extLst>
            <a:ext uri="{FF2B5EF4-FFF2-40B4-BE49-F238E27FC236}">
              <a16:creationId xmlns:a16="http://schemas.microsoft.com/office/drawing/2014/main" xmlns="" id="{00000000-0008-0000-0E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088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</xdr:row>
      <xdr:rowOff>148166</xdr:rowOff>
    </xdr:from>
    <xdr:ext cx="592667" cy="677334"/>
    <xdr:pic>
      <xdr:nvPicPr>
        <xdr:cNvPr id="59" name="58 Imagen">
          <a:extLst>
            <a:ext uri="{FF2B5EF4-FFF2-40B4-BE49-F238E27FC236}">
              <a16:creationId xmlns:a16="http://schemas.microsoft.com/office/drawing/2014/main" xmlns="" id="{00000000-0008-0000-0E00-00003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077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</xdr:row>
      <xdr:rowOff>105833</xdr:rowOff>
    </xdr:from>
    <xdr:ext cx="1248833" cy="762000"/>
    <xdr:pic>
      <xdr:nvPicPr>
        <xdr:cNvPr id="60" name="59 Imagen" descr="D:\José Luis Gavidia\Logo\logo.jpg">
          <a:extLst>
            <a:ext uri="{FF2B5EF4-FFF2-40B4-BE49-F238E27FC236}">
              <a16:creationId xmlns:a16="http://schemas.microsoft.com/office/drawing/2014/main" xmlns="" id="{00000000-0008-0000-0E00-00003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11403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61" name="Cuadro de texto 134">
          <a:extLst>
            <a:ext uri="{FF2B5EF4-FFF2-40B4-BE49-F238E27FC236}">
              <a16:creationId xmlns:a16="http://schemas.microsoft.com/office/drawing/2014/main" xmlns="" id="{00000000-0008-0000-0E00-00003D000000}"/>
            </a:ext>
          </a:extLst>
        </xdr:cNvPr>
        <xdr:cNvSpPr txBox="1">
          <a:spLocks noChangeArrowheads="1"/>
        </xdr:cNvSpPr>
      </xdr:nvSpPr>
      <xdr:spPr bwMode="auto">
        <a:xfrm>
          <a:off x="963083" y="113993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54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54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E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49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54</xdr:row>
      <xdr:rowOff>105833</xdr:rowOff>
    </xdr:from>
    <xdr:ext cx="12488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306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54</xdr:row>
      <xdr:rowOff>63499</xdr:rowOff>
    </xdr:from>
    <xdr:to>
      <xdr:col>3</xdr:col>
      <xdr:colOff>74083</xdr:colOff>
      <xdr:row>58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104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E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45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104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E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33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104</xdr:row>
      <xdr:rowOff>105833</xdr:rowOff>
    </xdr:from>
    <xdr:ext cx="12488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E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1129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E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250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154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E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59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154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E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1748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154</xdr:row>
      <xdr:rowOff>105833</xdr:rowOff>
    </xdr:from>
    <xdr:ext cx="12488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E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21706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E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664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204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E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73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204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E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216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204</xdr:row>
      <xdr:rowOff>105833</xdr:rowOff>
    </xdr:from>
    <xdr:ext cx="12488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E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32120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2078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254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E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87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254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E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2576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254</xdr:row>
      <xdr:rowOff>105833</xdr:rowOff>
    </xdr:from>
    <xdr:ext cx="12488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E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42534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E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492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304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E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01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304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E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2990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304</xdr:row>
      <xdr:rowOff>105833</xdr:rowOff>
    </xdr:from>
    <xdr:ext cx="12488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E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52948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E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906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354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E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15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354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E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340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354</xdr:row>
      <xdr:rowOff>105833</xdr:rowOff>
    </xdr:from>
    <xdr:ext cx="12488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E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6336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404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E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15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404</xdr:row>
      <xdr:rowOff>148166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E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340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404</xdr:row>
      <xdr:rowOff>105833</xdr:rowOff>
    </xdr:from>
    <xdr:ext cx="12488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E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6336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E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52917</xdr:colOff>
      <xdr:row>1</xdr:row>
      <xdr:rowOff>158749</xdr:rowOff>
    </xdr:from>
    <xdr:ext cx="582083" cy="687917"/>
    <xdr:pic>
      <xdr:nvPicPr>
        <xdr:cNvPr id="58" name="57 Imagen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14088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1</xdr:row>
      <xdr:rowOff>137582</xdr:rowOff>
    </xdr:from>
    <xdr:ext cx="592667" cy="677334"/>
    <xdr:pic>
      <xdr:nvPicPr>
        <xdr:cNvPr id="59" name="58 Imagen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114067165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</xdr:row>
      <xdr:rowOff>105833</xdr:rowOff>
    </xdr:from>
    <xdr:ext cx="1248833" cy="762000"/>
    <xdr:pic>
      <xdr:nvPicPr>
        <xdr:cNvPr id="60" name="59 Imagen" descr="D:\José Luis Gavidia\Logo\logo.jpg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11403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61" name="Cuadro de texto 13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963083" y="113993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53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35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53</xdr:row>
      <xdr:rowOff>137582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338665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53</xdr:row>
      <xdr:rowOff>105833</xdr:rowOff>
    </xdr:from>
    <xdr:ext cx="12488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306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53</xdr:row>
      <xdr:rowOff>63499</xdr:rowOff>
    </xdr:from>
    <xdr:to>
      <xdr:col>3</xdr:col>
      <xdr:colOff>74083</xdr:colOff>
      <xdr:row>57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104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1154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104</xdr:row>
      <xdr:rowOff>137582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11133665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104</xdr:row>
      <xdr:rowOff>105833</xdr:rowOff>
    </xdr:from>
    <xdr:ext cx="12488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11101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0595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154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21759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154</xdr:row>
      <xdr:rowOff>137582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21738165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154</xdr:row>
      <xdr:rowOff>105833</xdr:rowOff>
    </xdr:from>
    <xdr:ext cx="12488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21706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664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204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32173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204</xdr:row>
      <xdr:rowOff>137582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32152165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204</xdr:row>
      <xdr:rowOff>105833</xdr:rowOff>
    </xdr:from>
    <xdr:ext cx="12488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32120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2078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254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42587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254</xdr:row>
      <xdr:rowOff>137582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42566165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254</xdr:row>
      <xdr:rowOff>105833</xdr:rowOff>
    </xdr:from>
    <xdr:ext cx="12488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42534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492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304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42587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304</xdr:row>
      <xdr:rowOff>137582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42566165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304</xdr:row>
      <xdr:rowOff>105833</xdr:rowOff>
    </xdr:from>
    <xdr:ext cx="12488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42534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42492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354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63288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354</xdr:row>
      <xdr:rowOff>137582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63267165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354</xdr:row>
      <xdr:rowOff>105833</xdr:rowOff>
    </xdr:from>
    <xdr:ext cx="12488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6323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3193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404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63288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624417</xdr:colOff>
      <xdr:row>404</xdr:row>
      <xdr:rowOff>137582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7" y="63267165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404</xdr:row>
      <xdr:rowOff>105833</xdr:rowOff>
    </xdr:from>
    <xdr:ext cx="12488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42000" y="6323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3193082"/>
          <a:ext cx="5101167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158749</xdr:rowOff>
    </xdr:from>
    <xdr:ext cx="582083" cy="687917"/>
    <xdr:pic>
      <xdr:nvPicPr>
        <xdr:cNvPr id="54" name="53 Imagen">
          <a:extLst>
            <a:ext uri="{FF2B5EF4-FFF2-40B4-BE49-F238E27FC236}">
              <a16:creationId xmlns:a16="http://schemas.microsoft.com/office/drawing/2014/main" xmlns="" id="{00000000-0008-0000-10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088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</xdr:row>
      <xdr:rowOff>148166</xdr:rowOff>
    </xdr:from>
    <xdr:ext cx="592667" cy="677334"/>
    <xdr:pic>
      <xdr:nvPicPr>
        <xdr:cNvPr id="55" name="54 Imagen">
          <a:extLst>
            <a:ext uri="{FF2B5EF4-FFF2-40B4-BE49-F238E27FC236}">
              <a16:creationId xmlns:a16="http://schemas.microsoft.com/office/drawing/2014/main" xmlns="" id="{00000000-0008-0000-10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077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</xdr:row>
      <xdr:rowOff>105833</xdr:rowOff>
    </xdr:from>
    <xdr:ext cx="1248833" cy="762000"/>
    <xdr:pic>
      <xdr:nvPicPr>
        <xdr:cNvPr id="56" name="55 Imagen" descr="D:\José Luis Gavidia\Logo\logo.jpg">
          <a:extLst>
            <a:ext uri="{FF2B5EF4-FFF2-40B4-BE49-F238E27FC236}">
              <a16:creationId xmlns:a16="http://schemas.microsoft.com/office/drawing/2014/main" xmlns="" id="{00000000-0008-0000-1000-00003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11403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57" name="Cuadro de texto 134">
          <a:extLst>
            <a:ext uri="{FF2B5EF4-FFF2-40B4-BE49-F238E27FC236}">
              <a16:creationId xmlns:a16="http://schemas.microsoft.com/office/drawing/2014/main" xmlns="" id="{00000000-0008-0000-1000-000039000000}"/>
            </a:ext>
          </a:extLst>
        </xdr:cNvPr>
        <xdr:cNvSpPr txBox="1">
          <a:spLocks noChangeArrowheads="1"/>
        </xdr:cNvSpPr>
      </xdr:nvSpPr>
      <xdr:spPr bwMode="auto">
        <a:xfrm>
          <a:off x="963083" y="113993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53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1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53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49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53</xdr:row>
      <xdr:rowOff>105833</xdr:rowOff>
    </xdr:from>
    <xdr:ext cx="12488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99667" y="306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53</xdr:row>
      <xdr:rowOff>63499</xdr:rowOff>
    </xdr:from>
    <xdr:to>
      <xdr:col>3</xdr:col>
      <xdr:colOff>74083</xdr:colOff>
      <xdr:row>57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50588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104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54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104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144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104</xdr:row>
      <xdr:rowOff>105833</xdr:rowOff>
    </xdr:from>
    <xdr:ext cx="12488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10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99667" y="11101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059582"/>
          <a:ext cx="50588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154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10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59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154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1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1748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154</xdr:row>
      <xdr:rowOff>105833</xdr:rowOff>
    </xdr:from>
    <xdr:ext cx="12488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10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99667" y="21706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664082"/>
          <a:ext cx="50588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204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10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73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204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10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216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204</xdr:row>
      <xdr:rowOff>105833</xdr:rowOff>
    </xdr:from>
    <xdr:ext cx="12488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10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99667" y="32120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2078082"/>
          <a:ext cx="50588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254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10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87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254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10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2576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254</xdr:row>
      <xdr:rowOff>105833</xdr:rowOff>
    </xdr:from>
    <xdr:ext cx="12488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10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99667" y="42534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492082"/>
          <a:ext cx="50588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304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10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01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304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10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2990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304</xdr:row>
      <xdr:rowOff>105833</xdr:rowOff>
    </xdr:from>
    <xdr:ext cx="12488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10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99667" y="52948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906082"/>
          <a:ext cx="50588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354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10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15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354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10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340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354</xdr:row>
      <xdr:rowOff>105833</xdr:rowOff>
    </xdr:from>
    <xdr:ext cx="12488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10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99667" y="6336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50588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405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10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15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405</xdr:row>
      <xdr:rowOff>148166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10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340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405</xdr:row>
      <xdr:rowOff>105833</xdr:rowOff>
    </xdr:from>
    <xdr:ext cx="12488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0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99667" y="6336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405</xdr:row>
      <xdr:rowOff>63499</xdr:rowOff>
    </xdr:from>
    <xdr:to>
      <xdr:col>3</xdr:col>
      <xdr:colOff>74083</xdr:colOff>
      <xdr:row>409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50588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158749</xdr:rowOff>
    </xdr:from>
    <xdr:ext cx="582083" cy="687917"/>
    <xdr:pic>
      <xdr:nvPicPr>
        <xdr:cNvPr id="58" name="57 Imagen">
          <a:extLst>
            <a:ext uri="{FF2B5EF4-FFF2-40B4-BE49-F238E27FC236}">
              <a16:creationId xmlns:a16="http://schemas.microsoft.com/office/drawing/2014/main" xmlns="" id="{00000000-0008-0000-11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098916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</xdr:row>
      <xdr:rowOff>148166</xdr:rowOff>
    </xdr:from>
    <xdr:ext cx="592667" cy="677334"/>
    <xdr:pic>
      <xdr:nvPicPr>
        <xdr:cNvPr id="59" name="58 Imagen">
          <a:extLst>
            <a:ext uri="{FF2B5EF4-FFF2-40B4-BE49-F238E27FC236}">
              <a16:creationId xmlns:a16="http://schemas.microsoft.com/office/drawing/2014/main" xmlns="" id="{00000000-0008-0000-1100-00003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088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</xdr:row>
      <xdr:rowOff>105833</xdr:rowOff>
    </xdr:from>
    <xdr:ext cx="1248833" cy="762000"/>
    <xdr:pic>
      <xdr:nvPicPr>
        <xdr:cNvPr id="60" name="59 Imagen" descr="D:\José Luis Gavidia\Logo\logo.jpg">
          <a:extLst>
            <a:ext uri="{FF2B5EF4-FFF2-40B4-BE49-F238E27FC236}">
              <a16:creationId xmlns:a16="http://schemas.microsoft.com/office/drawing/2014/main" xmlns="" id="{00000000-0008-0000-1100-00003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89084" y="114046000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61" name="Cuadro de texto 134">
          <a:extLst>
            <a:ext uri="{FF2B5EF4-FFF2-40B4-BE49-F238E27FC236}">
              <a16:creationId xmlns:a16="http://schemas.microsoft.com/office/drawing/2014/main" xmlns="" id="{00000000-0008-0000-1100-00003D000000}"/>
            </a:ext>
          </a:extLst>
        </xdr:cNvPr>
        <xdr:cNvSpPr txBox="1">
          <a:spLocks noChangeArrowheads="1"/>
        </xdr:cNvSpPr>
      </xdr:nvSpPr>
      <xdr:spPr bwMode="auto">
        <a:xfrm>
          <a:off x="963083" y="114003666"/>
          <a:ext cx="504825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52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52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11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49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52</xdr:row>
      <xdr:rowOff>105833</xdr:rowOff>
    </xdr:from>
    <xdr:ext cx="12488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89084" y="306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52</xdr:row>
      <xdr:rowOff>63499</xdr:rowOff>
    </xdr:from>
    <xdr:to>
      <xdr:col>3</xdr:col>
      <xdr:colOff>74083</xdr:colOff>
      <xdr:row>56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11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504825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104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11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37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104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11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0826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104</xdr:row>
      <xdr:rowOff>105833</xdr:rowOff>
    </xdr:from>
    <xdr:ext cx="12488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11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89084" y="10784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11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0742082"/>
          <a:ext cx="504825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154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11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5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154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11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149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154</xdr:row>
      <xdr:rowOff>105833</xdr:rowOff>
    </xdr:from>
    <xdr:ext cx="12488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11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89084" y="2145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11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410082"/>
          <a:ext cx="504825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204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1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92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204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1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1781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204</xdr:row>
      <xdr:rowOff>105833</xdr:rowOff>
    </xdr:from>
    <xdr:ext cx="12488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11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89084" y="31739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11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1697082"/>
          <a:ext cx="504825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254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11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79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254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11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2068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254</xdr:row>
      <xdr:rowOff>105833</xdr:rowOff>
    </xdr:from>
    <xdr:ext cx="12488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11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89084" y="42026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11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1984082"/>
          <a:ext cx="504825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304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11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66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304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11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2355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304</xdr:row>
      <xdr:rowOff>105833</xdr:rowOff>
    </xdr:from>
    <xdr:ext cx="12488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11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89084" y="52313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11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271082"/>
          <a:ext cx="504825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354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11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53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354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11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264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354</xdr:row>
      <xdr:rowOff>105833</xdr:rowOff>
    </xdr:from>
    <xdr:ext cx="12488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11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89084" y="62600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11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2558082"/>
          <a:ext cx="504825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404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11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53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404</xdr:row>
      <xdr:rowOff>148166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11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264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404</xdr:row>
      <xdr:rowOff>105833</xdr:rowOff>
    </xdr:from>
    <xdr:ext cx="12488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1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89084" y="62600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11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2558082"/>
          <a:ext cx="504825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81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307664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6" name="Cuadro de texto 134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2141220" y="91440"/>
          <a:ext cx="10728960" cy="9144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7" name="33 Imagen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4828999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8" name="34 Imagen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771" y="4789882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9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307664" y="4780945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10" name="Cuadro de texto 134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2221149" y="91440"/>
          <a:ext cx="10536677" cy="94552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50</xdr:row>
      <xdr:rowOff>62447</xdr:rowOff>
    </xdr:from>
    <xdr:ext cx="653861" cy="748192"/>
    <xdr:pic>
      <xdr:nvPicPr>
        <xdr:cNvPr id="19" name="33 Imagen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2481426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50</xdr:row>
      <xdr:rowOff>23329</xdr:rowOff>
    </xdr:from>
    <xdr:ext cx="615761" cy="771096"/>
    <xdr:pic>
      <xdr:nvPicPr>
        <xdr:cNvPr id="20" name="34 Imagen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771" y="12442308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50</xdr:row>
      <xdr:rowOff>14392</xdr:rowOff>
    </xdr:from>
    <xdr:ext cx="1742872" cy="812459"/>
    <xdr:pic>
      <xdr:nvPicPr>
        <xdr:cNvPr id="21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797064" y="12433371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50</xdr:row>
      <xdr:rowOff>91440</xdr:rowOff>
    </xdr:from>
    <xdr:to>
      <xdr:col>16</xdr:col>
      <xdr:colOff>723900</xdr:colOff>
      <xdr:row>54</xdr:row>
      <xdr:rowOff>137160</xdr:rowOff>
    </xdr:to>
    <xdr:sp macro="" textlink="">
      <xdr:nvSpPr>
        <xdr:cNvPr id="22" name="Cuadro de texto 134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2221149" y="4857993"/>
          <a:ext cx="10536677" cy="94552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7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89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293071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2225040" y="91440"/>
          <a:ext cx="101574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6" name="33 Imagen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7" name="34 Imagen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85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8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293071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2225040" y="6103620"/>
          <a:ext cx="101574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50</xdr:row>
      <xdr:rowOff>62447</xdr:rowOff>
    </xdr:from>
    <xdr:ext cx="653861" cy="748192"/>
    <xdr:pic>
      <xdr:nvPicPr>
        <xdr:cNvPr id="10" name="33 Imagen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434232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50</xdr:row>
      <xdr:rowOff>23329</xdr:rowOff>
    </xdr:from>
    <xdr:ext cx="615761" cy="771096"/>
    <xdr:pic>
      <xdr:nvPicPr>
        <xdr:cNvPr id="11" name="34 Imagen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851" y="1430320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50</xdr:row>
      <xdr:rowOff>14392</xdr:rowOff>
    </xdr:from>
    <xdr:ext cx="1742872" cy="812459"/>
    <xdr:pic>
      <xdr:nvPicPr>
        <xdr:cNvPr id="12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417523" y="1429427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50</xdr:row>
      <xdr:rowOff>91440</xdr:rowOff>
    </xdr:from>
    <xdr:to>
      <xdr:col>16</xdr:col>
      <xdr:colOff>723900</xdr:colOff>
      <xdr:row>54</xdr:row>
      <xdr:rowOff>137160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2225040" y="14371320"/>
          <a:ext cx="1015746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42333</xdr:colOff>
      <xdr:row>1</xdr:row>
      <xdr:rowOff>169332</xdr:rowOff>
    </xdr:from>
    <xdr:ext cx="582083" cy="687917"/>
    <xdr:pic>
      <xdr:nvPicPr>
        <xdr:cNvPr id="54" name="53 Imagen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11409891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1</xdr:row>
      <xdr:rowOff>148166</xdr:rowOff>
    </xdr:from>
    <xdr:ext cx="529167" cy="677334"/>
    <xdr:pic>
      <xdr:nvPicPr>
        <xdr:cNvPr id="55" name="54 Imagen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140777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</xdr:row>
      <xdr:rowOff>105833</xdr:rowOff>
    </xdr:from>
    <xdr:ext cx="1100667" cy="762000"/>
    <xdr:pic>
      <xdr:nvPicPr>
        <xdr:cNvPr id="56" name="55 Imagen" descr="D:\José Luis Gavidia\Logo\logo.jpg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140354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57" name="Cuadro de texto 134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963083" y="113993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49</xdr:row>
      <xdr:rowOff>169332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37041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49</xdr:row>
      <xdr:rowOff>148166</xdr:rowOff>
    </xdr:from>
    <xdr:ext cx="5291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349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49</xdr:row>
      <xdr:rowOff>105833</xdr:rowOff>
    </xdr:from>
    <xdr:ext cx="1100667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3069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49</xdr:row>
      <xdr:rowOff>63499</xdr:rowOff>
    </xdr:from>
    <xdr:to>
      <xdr:col>3</xdr:col>
      <xdr:colOff>74083</xdr:colOff>
      <xdr:row>53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99</xdr:row>
      <xdr:rowOff>169332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1040341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99</xdr:row>
      <xdr:rowOff>148166</xdr:rowOff>
    </xdr:from>
    <xdr:ext cx="5291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0382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99</xdr:row>
      <xdr:rowOff>105833</xdr:rowOff>
    </xdr:from>
    <xdr:ext cx="1100667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03399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99</xdr:row>
      <xdr:rowOff>63499</xdr:rowOff>
    </xdr:from>
    <xdr:to>
      <xdr:col>3</xdr:col>
      <xdr:colOff>74083</xdr:colOff>
      <xdr:row>103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0297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149</xdr:row>
      <xdr:rowOff>169332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2081741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149</xdr:row>
      <xdr:rowOff>148166</xdr:rowOff>
    </xdr:from>
    <xdr:ext cx="5291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20796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149</xdr:row>
      <xdr:rowOff>105833</xdr:rowOff>
    </xdr:from>
    <xdr:ext cx="1100667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207539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149</xdr:row>
      <xdr:rowOff>63499</xdr:rowOff>
    </xdr:from>
    <xdr:to>
      <xdr:col>3</xdr:col>
      <xdr:colOff>74083</xdr:colOff>
      <xdr:row>153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0711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199</xdr:row>
      <xdr:rowOff>169332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3123141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199</xdr:row>
      <xdr:rowOff>148166</xdr:rowOff>
    </xdr:from>
    <xdr:ext cx="5291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31210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199</xdr:row>
      <xdr:rowOff>105833</xdr:rowOff>
    </xdr:from>
    <xdr:ext cx="1100667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311679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199</xdr:row>
      <xdr:rowOff>63499</xdr:rowOff>
    </xdr:from>
    <xdr:to>
      <xdr:col>3</xdr:col>
      <xdr:colOff>74083</xdr:colOff>
      <xdr:row>203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1125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249</xdr:row>
      <xdr:rowOff>169332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4164541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249</xdr:row>
      <xdr:rowOff>148166</xdr:rowOff>
    </xdr:from>
    <xdr:ext cx="5291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41624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249</xdr:row>
      <xdr:rowOff>105833</xdr:rowOff>
    </xdr:from>
    <xdr:ext cx="1100667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415819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249</xdr:row>
      <xdr:rowOff>63499</xdr:rowOff>
    </xdr:from>
    <xdr:to>
      <xdr:col>3</xdr:col>
      <xdr:colOff>74083</xdr:colOff>
      <xdr:row>253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1539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299</xdr:row>
      <xdr:rowOff>169332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5205941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299</xdr:row>
      <xdr:rowOff>148166</xdr:rowOff>
    </xdr:from>
    <xdr:ext cx="5291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52038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299</xdr:row>
      <xdr:rowOff>105833</xdr:rowOff>
    </xdr:from>
    <xdr:ext cx="1100667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519959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299</xdr:row>
      <xdr:rowOff>63499</xdr:rowOff>
    </xdr:from>
    <xdr:to>
      <xdr:col>3</xdr:col>
      <xdr:colOff>74083</xdr:colOff>
      <xdr:row>303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1953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349</xdr:row>
      <xdr:rowOff>169332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6247341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349</xdr:row>
      <xdr:rowOff>148166</xdr:rowOff>
    </xdr:from>
    <xdr:ext cx="5291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62452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349</xdr:row>
      <xdr:rowOff>105833</xdr:rowOff>
    </xdr:from>
    <xdr:ext cx="1100667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24099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349</xdr:row>
      <xdr:rowOff>63499</xdr:rowOff>
    </xdr:from>
    <xdr:to>
      <xdr:col>3</xdr:col>
      <xdr:colOff>74083</xdr:colOff>
      <xdr:row>353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2367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399</xdr:row>
      <xdr:rowOff>169332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6247341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399</xdr:row>
      <xdr:rowOff>148166</xdr:rowOff>
    </xdr:from>
    <xdr:ext cx="5291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62452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399</xdr:row>
      <xdr:rowOff>105833</xdr:rowOff>
    </xdr:from>
    <xdr:ext cx="1100667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2409916"/>
          <a:ext cx="11006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399</xdr:row>
      <xdr:rowOff>63499</xdr:rowOff>
    </xdr:from>
    <xdr:to>
      <xdr:col>3</xdr:col>
      <xdr:colOff>74083</xdr:colOff>
      <xdr:row>403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2367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7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89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04501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2225040" y="9144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6" name="33 Imagen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7" name="34 Imagen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85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8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04501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2225040" y="610362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50</xdr:row>
      <xdr:rowOff>62447</xdr:rowOff>
    </xdr:from>
    <xdr:ext cx="653861" cy="748192"/>
    <xdr:pic>
      <xdr:nvPicPr>
        <xdr:cNvPr id="10" name="33 Imagen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397656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50</xdr:row>
      <xdr:rowOff>23329</xdr:rowOff>
    </xdr:from>
    <xdr:ext cx="615761" cy="771096"/>
    <xdr:pic>
      <xdr:nvPicPr>
        <xdr:cNvPr id="11" name="34 Imagen">
          <a:extLst>
            <a:ext uri="{FF2B5EF4-FFF2-40B4-BE49-F238E27FC236}">
              <a16:creationId xmlns:a16="http://schemas.microsoft.com/office/drawing/2014/main" xmlns="" id="{00000000-0008-0000-15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851" y="1393744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50</xdr:row>
      <xdr:rowOff>14392</xdr:rowOff>
    </xdr:from>
    <xdr:ext cx="1742872" cy="812459"/>
    <xdr:pic>
      <xdr:nvPicPr>
        <xdr:cNvPr id="12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531823" y="1392851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50</xdr:row>
      <xdr:rowOff>91440</xdr:rowOff>
    </xdr:from>
    <xdr:to>
      <xdr:col>16</xdr:col>
      <xdr:colOff>723900</xdr:colOff>
      <xdr:row>54</xdr:row>
      <xdr:rowOff>137160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2225040" y="14005560"/>
          <a:ext cx="1027176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158749</xdr:rowOff>
    </xdr:from>
    <xdr:ext cx="582083" cy="687917"/>
    <xdr:pic>
      <xdr:nvPicPr>
        <xdr:cNvPr id="2" name="57 Imagen">
          <a:extLst>
            <a:ext uri="{FF2B5EF4-FFF2-40B4-BE49-F238E27FC236}">
              <a16:creationId xmlns:a16="http://schemas.microsoft.com/office/drawing/2014/main" xmlns="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2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</xdr:row>
      <xdr:rowOff>148166</xdr:rowOff>
    </xdr:from>
    <xdr:ext cx="592667" cy="677334"/>
    <xdr:pic>
      <xdr:nvPicPr>
        <xdr:cNvPr id="3" name="58 Imagen">
          <a:extLst>
            <a:ext uri="{FF2B5EF4-FFF2-40B4-BE49-F238E27FC236}">
              <a16:creationId xmlns:a16="http://schemas.microsoft.com/office/drawing/2014/main" xmlns="" id="{00000000-0008-0000-1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3866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</xdr:row>
      <xdr:rowOff>105833</xdr:rowOff>
    </xdr:from>
    <xdr:ext cx="1248833" cy="762000"/>
    <xdr:pic>
      <xdr:nvPicPr>
        <xdr:cNvPr id="4" name="59 Imagen" descr="D:\José Luis Gavidia\Logo\logo.jpg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20317" y="29633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963083" y="253999"/>
          <a:ext cx="521462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41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0858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41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029800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41</xdr:row>
      <xdr:rowOff>105833</xdr:rowOff>
    </xdr:from>
    <xdr:ext cx="12488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20317" y="1025567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41</xdr:row>
      <xdr:rowOff>63499</xdr:rowOff>
    </xdr:from>
    <xdr:to>
      <xdr:col>3</xdr:col>
      <xdr:colOff>74083</xdr:colOff>
      <xdr:row>45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10213339"/>
          <a:ext cx="521462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93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17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5080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93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17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044022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93</xdr:row>
      <xdr:rowOff>105833</xdr:rowOff>
    </xdr:from>
    <xdr:ext cx="12488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17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20317" y="2039789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93</xdr:row>
      <xdr:rowOff>63499</xdr:rowOff>
    </xdr:from>
    <xdr:to>
      <xdr:col>3</xdr:col>
      <xdr:colOff>74083</xdr:colOff>
      <xdr:row>97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17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20355559"/>
          <a:ext cx="521462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143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17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2726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143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17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021668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143</xdr:row>
      <xdr:rowOff>105833</xdr:rowOff>
    </xdr:from>
    <xdr:ext cx="12488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17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20317" y="3017435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143</xdr:row>
      <xdr:rowOff>63499</xdr:rowOff>
    </xdr:from>
    <xdr:to>
      <xdr:col>3</xdr:col>
      <xdr:colOff>74083</xdr:colOff>
      <xdr:row>147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17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30132019"/>
          <a:ext cx="521462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193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17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372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193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17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999314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193</xdr:row>
      <xdr:rowOff>105833</xdr:rowOff>
    </xdr:from>
    <xdr:ext cx="12488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17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20317" y="3995081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193</xdr:row>
      <xdr:rowOff>63499</xdr:rowOff>
    </xdr:from>
    <xdr:to>
      <xdr:col>3</xdr:col>
      <xdr:colOff>74083</xdr:colOff>
      <xdr:row>197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17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9908479"/>
          <a:ext cx="521462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243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17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8018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243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17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976960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243</xdr:row>
      <xdr:rowOff>105833</xdr:rowOff>
    </xdr:from>
    <xdr:ext cx="12488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17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20317" y="4972727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243</xdr:row>
      <xdr:rowOff>63499</xdr:rowOff>
    </xdr:from>
    <xdr:to>
      <xdr:col>3</xdr:col>
      <xdr:colOff>74083</xdr:colOff>
      <xdr:row>247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17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9684939"/>
          <a:ext cx="521462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293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17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5664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293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17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954606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293</xdr:row>
      <xdr:rowOff>105833</xdr:rowOff>
    </xdr:from>
    <xdr:ext cx="12488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17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20317" y="5950373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293</xdr:row>
      <xdr:rowOff>63499</xdr:rowOff>
    </xdr:from>
    <xdr:to>
      <xdr:col>3</xdr:col>
      <xdr:colOff>74083</xdr:colOff>
      <xdr:row>297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17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9461399"/>
          <a:ext cx="521462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343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17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33310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343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17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932252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343</xdr:row>
      <xdr:rowOff>105833</xdr:rowOff>
    </xdr:from>
    <xdr:ext cx="12488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17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20317" y="6928019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343</xdr:row>
      <xdr:rowOff>63499</xdr:rowOff>
    </xdr:from>
    <xdr:to>
      <xdr:col>3</xdr:col>
      <xdr:colOff>74083</xdr:colOff>
      <xdr:row>347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17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9237859"/>
          <a:ext cx="521462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393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17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0956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393</xdr:row>
      <xdr:rowOff>148166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17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909898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393</xdr:row>
      <xdr:rowOff>105833</xdr:rowOff>
    </xdr:from>
    <xdr:ext cx="12488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7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20317" y="79056653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393</xdr:row>
      <xdr:rowOff>63499</xdr:rowOff>
    </xdr:from>
    <xdr:to>
      <xdr:col>3</xdr:col>
      <xdr:colOff>74083</xdr:colOff>
      <xdr:row>397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17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79014319"/>
          <a:ext cx="521462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383756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5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1</xdr:col>
      <xdr:colOff>787453</xdr:colOff>
      <xdr:row>0</xdr:row>
      <xdr:rowOff>0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73" y="0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10</xdr:col>
      <xdr:colOff>685800</xdr:colOff>
      <xdr:row>0</xdr:row>
      <xdr:rowOff>30480</xdr:rowOff>
    </xdr:from>
    <xdr:ext cx="1432560" cy="86868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1094720" y="30480"/>
          <a:ext cx="1432560" cy="8686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2</xdr:col>
      <xdr:colOff>883920</xdr:colOff>
      <xdr:row>0</xdr:row>
      <xdr:rowOff>45720</xdr:rowOff>
    </xdr:from>
    <xdr:to>
      <xdr:col>10</xdr:col>
      <xdr:colOff>381000</xdr:colOff>
      <xdr:row>4</xdr:row>
      <xdr:rowOff>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SpPr txBox="1">
          <a:spLocks noChangeArrowheads="1"/>
        </xdr:cNvSpPr>
      </xdr:nvSpPr>
      <xdr:spPr bwMode="auto">
        <a:xfrm>
          <a:off x="2529840" y="45720"/>
          <a:ext cx="826008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7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00000000-0008-0000-1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89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04501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SpPr txBox="1">
          <a:spLocks noChangeArrowheads="1"/>
        </xdr:cNvSpPr>
      </xdr:nvSpPr>
      <xdr:spPr bwMode="auto">
        <a:xfrm>
          <a:off x="2225040" y="9144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6" name="33 Imagen"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7" name="34 Imagen"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85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8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04501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2225040" y="610362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50</xdr:row>
      <xdr:rowOff>62447</xdr:rowOff>
    </xdr:from>
    <xdr:ext cx="653861" cy="748192"/>
    <xdr:pic>
      <xdr:nvPicPr>
        <xdr:cNvPr id="10" name="33 Imagen">
          <a:extLst>
            <a:ext uri="{FF2B5EF4-FFF2-40B4-BE49-F238E27FC236}">
              <a16:creationId xmlns:a16="http://schemas.microsoft.com/office/drawing/2014/main" xmlns="" id="{00000000-0008-0000-19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397656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50</xdr:row>
      <xdr:rowOff>23329</xdr:rowOff>
    </xdr:from>
    <xdr:ext cx="615761" cy="771096"/>
    <xdr:pic>
      <xdr:nvPicPr>
        <xdr:cNvPr id="11" name="34 Imagen">
          <a:extLst>
            <a:ext uri="{FF2B5EF4-FFF2-40B4-BE49-F238E27FC236}">
              <a16:creationId xmlns:a16="http://schemas.microsoft.com/office/drawing/2014/main" xmlns="" id="{00000000-0008-0000-19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851" y="1393744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50</xdr:row>
      <xdr:rowOff>14392</xdr:rowOff>
    </xdr:from>
    <xdr:ext cx="1742872" cy="812459"/>
    <xdr:pic>
      <xdr:nvPicPr>
        <xdr:cNvPr id="12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9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531823" y="1392851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50</xdr:row>
      <xdr:rowOff>91440</xdr:rowOff>
    </xdr:from>
    <xdr:to>
      <xdr:col>16</xdr:col>
      <xdr:colOff>723900</xdr:colOff>
      <xdr:row>54</xdr:row>
      <xdr:rowOff>137160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2225040" y="14005560"/>
          <a:ext cx="1027176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133773</xdr:colOff>
      <xdr:row>0</xdr:row>
      <xdr:rowOff>132925</xdr:rowOff>
    </xdr:from>
    <xdr:ext cx="811107" cy="720515"/>
    <xdr:pic>
      <xdr:nvPicPr>
        <xdr:cNvPr id="2" name="33 Imagen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0</xdr:row>
      <xdr:rowOff>152822</xdr:rowOff>
    </xdr:from>
    <xdr:ext cx="800101" cy="708237"/>
    <xdr:pic>
      <xdr:nvPicPr>
        <xdr:cNvPr id="3" name="34 Imagen">
          <a:extLst>
            <a:ext uri="{FF2B5EF4-FFF2-40B4-BE49-F238E27FC236}">
              <a16:creationId xmlns:a16="http://schemas.microsoft.com/office/drawing/2014/main" xmlns="" id="{00000000-0008-0000-1A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0</xdr:row>
      <xdr:rowOff>63499</xdr:rowOff>
    </xdr:from>
    <xdr:to>
      <xdr:col>3</xdr:col>
      <xdr:colOff>74083</xdr:colOff>
      <xdr:row>3</xdr:row>
      <xdr:rowOff>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963083" y="79989679"/>
          <a:ext cx="5153660" cy="89386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32</xdr:row>
      <xdr:rowOff>132925</xdr:rowOff>
    </xdr:from>
    <xdr:ext cx="811107" cy="720515"/>
    <xdr:pic>
      <xdr:nvPicPr>
        <xdr:cNvPr id="12" name="33 Imagen">
          <a:extLst>
            <a:ext uri="{FF2B5EF4-FFF2-40B4-BE49-F238E27FC236}">
              <a16:creationId xmlns:a16="http://schemas.microsoft.com/office/drawing/2014/main" xmlns="" id="{00000000-0008-0000-1A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32</xdr:row>
      <xdr:rowOff>152822</xdr:rowOff>
    </xdr:from>
    <xdr:ext cx="800101" cy="708237"/>
    <xdr:pic>
      <xdr:nvPicPr>
        <xdr:cNvPr id="13" name="34 Imagen">
          <a:extLst>
            <a:ext uri="{FF2B5EF4-FFF2-40B4-BE49-F238E27FC236}">
              <a16:creationId xmlns:a16="http://schemas.microsoft.com/office/drawing/2014/main" xmlns="" id="{00000000-0008-0000-1A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32</xdr:row>
      <xdr:rowOff>63499</xdr:rowOff>
    </xdr:from>
    <xdr:to>
      <xdr:col>3</xdr:col>
      <xdr:colOff>74083</xdr:colOff>
      <xdr:row>35</xdr:row>
      <xdr:rowOff>0</xdr:rowOff>
    </xdr:to>
    <xdr:sp macro="" textlink="">
      <xdr:nvSpPr>
        <xdr:cNvPr id="14" name="Cuadro de texto 134">
          <a:extLst>
            <a:ext uri="{FF2B5EF4-FFF2-40B4-BE49-F238E27FC236}">
              <a16:creationId xmlns:a16="http://schemas.microsoft.com/office/drawing/2014/main" xmlns="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30784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68</xdr:row>
      <xdr:rowOff>132925</xdr:rowOff>
    </xdr:from>
    <xdr:ext cx="811107" cy="720515"/>
    <xdr:pic>
      <xdr:nvPicPr>
        <xdr:cNvPr id="15" name="33 Imagen">
          <a:extLst>
            <a:ext uri="{FF2B5EF4-FFF2-40B4-BE49-F238E27FC236}">
              <a16:creationId xmlns:a16="http://schemas.microsoft.com/office/drawing/2014/main" xmlns="" id="{00000000-0008-0000-1A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68</xdr:row>
      <xdr:rowOff>152822</xdr:rowOff>
    </xdr:from>
    <xdr:ext cx="800101" cy="708237"/>
    <xdr:pic>
      <xdr:nvPicPr>
        <xdr:cNvPr id="16" name="34 Imagen">
          <a:extLst>
            <a:ext uri="{FF2B5EF4-FFF2-40B4-BE49-F238E27FC236}">
              <a16:creationId xmlns:a16="http://schemas.microsoft.com/office/drawing/2014/main" xmlns="" id="{00000000-0008-0000-1A00-000010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68</xdr:row>
      <xdr:rowOff>63499</xdr:rowOff>
    </xdr:from>
    <xdr:to>
      <xdr:col>3</xdr:col>
      <xdr:colOff>74083</xdr:colOff>
      <xdr:row>71</xdr:row>
      <xdr:rowOff>0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100</xdr:row>
      <xdr:rowOff>132925</xdr:rowOff>
    </xdr:from>
    <xdr:ext cx="811107" cy="720515"/>
    <xdr:pic>
      <xdr:nvPicPr>
        <xdr:cNvPr id="18" name="33 Imagen">
          <a:extLst>
            <a:ext uri="{FF2B5EF4-FFF2-40B4-BE49-F238E27FC236}">
              <a16:creationId xmlns:a16="http://schemas.microsoft.com/office/drawing/2014/main" xmlns="" id="{00000000-0008-0000-1A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100</xdr:row>
      <xdr:rowOff>152822</xdr:rowOff>
    </xdr:from>
    <xdr:ext cx="800101" cy="708237"/>
    <xdr:pic>
      <xdr:nvPicPr>
        <xdr:cNvPr id="19" name="34 Imagen">
          <a:extLst>
            <a:ext uri="{FF2B5EF4-FFF2-40B4-BE49-F238E27FC236}">
              <a16:creationId xmlns:a16="http://schemas.microsoft.com/office/drawing/2014/main" xmlns="" id="{00000000-0008-0000-1A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100</xdr:row>
      <xdr:rowOff>63499</xdr:rowOff>
    </xdr:from>
    <xdr:to>
      <xdr:col>3</xdr:col>
      <xdr:colOff>74083</xdr:colOff>
      <xdr:row>103</xdr:row>
      <xdr:rowOff>0</xdr:rowOff>
    </xdr:to>
    <xdr:sp macro="" textlink="">
      <xdr:nvSpPr>
        <xdr:cNvPr id="20" name="Cuadro de texto 134">
          <a:extLst>
            <a:ext uri="{FF2B5EF4-FFF2-40B4-BE49-F238E27FC236}">
              <a16:creationId xmlns:a16="http://schemas.microsoft.com/office/drawing/2014/main" xmlns="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88053</xdr:colOff>
      <xdr:row>133</xdr:row>
      <xdr:rowOff>110065</xdr:rowOff>
    </xdr:from>
    <xdr:ext cx="811107" cy="720515"/>
    <xdr:pic>
      <xdr:nvPicPr>
        <xdr:cNvPr id="33" name="33 Imagen">
          <a:extLst>
            <a:ext uri="{FF2B5EF4-FFF2-40B4-BE49-F238E27FC236}">
              <a16:creationId xmlns:a16="http://schemas.microsoft.com/office/drawing/2014/main" xmlns="" id="{00000000-0008-0000-1A00-00002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" y="284412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3</xdr:col>
      <xdr:colOff>403860</xdr:colOff>
      <xdr:row>133</xdr:row>
      <xdr:rowOff>76622</xdr:rowOff>
    </xdr:from>
    <xdr:ext cx="800101" cy="708237"/>
    <xdr:pic>
      <xdr:nvPicPr>
        <xdr:cNvPr id="34" name="34 Imagen">
          <a:extLst>
            <a:ext uri="{FF2B5EF4-FFF2-40B4-BE49-F238E27FC236}">
              <a16:creationId xmlns:a16="http://schemas.microsoft.com/office/drawing/2014/main" xmlns="" id="{00000000-0008-0000-1A00-00002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8360" y="284077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963082</xdr:colOff>
      <xdr:row>133</xdr:row>
      <xdr:rowOff>63499</xdr:rowOff>
    </xdr:from>
    <xdr:to>
      <xdr:col>3</xdr:col>
      <xdr:colOff>731519</xdr:colOff>
      <xdr:row>136</xdr:row>
      <xdr:rowOff>0</xdr:rowOff>
    </xdr:to>
    <xdr:sp macro="" textlink="">
      <xdr:nvSpPr>
        <xdr:cNvPr id="35" name="Cuadro de texto 134">
          <a:extLst>
            <a:ext uri="{FF2B5EF4-FFF2-40B4-BE49-F238E27FC236}">
              <a16:creationId xmlns:a16="http://schemas.microsoft.com/office/drawing/2014/main" xmlns="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963082" y="28394659"/>
          <a:ext cx="5292937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165</xdr:row>
      <xdr:rowOff>132925</xdr:rowOff>
    </xdr:from>
    <xdr:ext cx="811107" cy="720515"/>
    <xdr:pic>
      <xdr:nvPicPr>
        <xdr:cNvPr id="36" name="33 Imagen">
          <a:extLst>
            <a:ext uri="{FF2B5EF4-FFF2-40B4-BE49-F238E27FC236}">
              <a16:creationId xmlns:a16="http://schemas.microsoft.com/office/drawing/2014/main" xmlns="" id="{00000000-0008-0000-1A00-00002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165</xdr:row>
      <xdr:rowOff>152822</xdr:rowOff>
    </xdr:from>
    <xdr:ext cx="800101" cy="708237"/>
    <xdr:pic>
      <xdr:nvPicPr>
        <xdr:cNvPr id="37" name="34 Imagen">
          <a:extLst>
            <a:ext uri="{FF2B5EF4-FFF2-40B4-BE49-F238E27FC236}">
              <a16:creationId xmlns:a16="http://schemas.microsoft.com/office/drawing/2014/main" xmlns="" id="{00000000-0008-0000-1A00-00002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165</xdr:row>
      <xdr:rowOff>63499</xdr:rowOff>
    </xdr:from>
    <xdr:to>
      <xdr:col>3</xdr:col>
      <xdr:colOff>74083</xdr:colOff>
      <xdr:row>168</xdr:row>
      <xdr:rowOff>0</xdr:rowOff>
    </xdr:to>
    <xdr:sp macro="" textlink="">
      <xdr:nvSpPr>
        <xdr:cNvPr id="38" name="Cuadro de texto 134">
          <a:extLst>
            <a:ext uri="{FF2B5EF4-FFF2-40B4-BE49-F238E27FC236}">
              <a16:creationId xmlns:a16="http://schemas.microsoft.com/office/drawing/2014/main" xmlns="" id="{00000000-0008-0000-1A00-000026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203</xdr:row>
      <xdr:rowOff>132925</xdr:rowOff>
    </xdr:from>
    <xdr:ext cx="811107" cy="720515"/>
    <xdr:pic>
      <xdr:nvPicPr>
        <xdr:cNvPr id="39" name="33 Imagen">
          <a:extLst>
            <a:ext uri="{FF2B5EF4-FFF2-40B4-BE49-F238E27FC236}">
              <a16:creationId xmlns:a16="http://schemas.microsoft.com/office/drawing/2014/main" xmlns="" id="{00000000-0008-0000-1A00-00002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203</xdr:row>
      <xdr:rowOff>152822</xdr:rowOff>
    </xdr:from>
    <xdr:ext cx="800101" cy="708237"/>
    <xdr:pic>
      <xdr:nvPicPr>
        <xdr:cNvPr id="40" name="34 Imagen">
          <a:extLst>
            <a:ext uri="{FF2B5EF4-FFF2-40B4-BE49-F238E27FC236}">
              <a16:creationId xmlns:a16="http://schemas.microsoft.com/office/drawing/2014/main" xmlns="" id="{00000000-0008-0000-1A00-00002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203</xdr:row>
      <xdr:rowOff>63499</xdr:rowOff>
    </xdr:from>
    <xdr:to>
      <xdr:col>3</xdr:col>
      <xdr:colOff>74083</xdr:colOff>
      <xdr:row>206</xdr:row>
      <xdr:rowOff>0</xdr:rowOff>
    </xdr:to>
    <xdr:sp macro="" textlink="">
      <xdr:nvSpPr>
        <xdr:cNvPr id="41" name="Cuadro de texto 134">
          <a:extLst>
            <a:ext uri="{FF2B5EF4-FFF2-40B4-BE49-F238E27FC236}">
              <a16:creationId xmlns:a16="http://schemas.microsoft.com/office/drawing/2014/main" xmlns="" id="{00000000-0008-0000-1A00-000029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235</xdr:row>
      <xdr:rowOff>132925</xdr:rowOff>
    </xdr:from>
    <xdr:ext cx="811107" cy="720515"/>
    <xdr:pic>
      <xdr:nvPicPr>
        <xdr:cNvPr id="42" name="33 Imagen">
          <a:extLst>
            <a:ext uri="{FF2B5EF4-FFF2-40B4-BE49-F238E27FC236}">
              <a16:creationId xmlns:a16="http://schemas.microsoft.com/office/drawing/2014/main" xmlns="" id="{00000000-0008-0000-1A00-00002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235</xdr:row>
      <xdr:rowOff>152822</xdr:rowOff>
    </xdr:from>
    <xdr:ext cx="800101" cy="708237"/>
    <xdr:pic>
      <xdr:nvPicPr>
        <xdr:cNvPr id="43" name="34 Imagen">
          <a:extLst>
            <a:ext uri="{FF2B5EF4-FFF2-40B4-BE49-F238E27FC236}">
              <a16:creationId xmlns:a16="http://schemas.microsoft.com/office/drawing/2014/main" xmlns="" id="{00000000-0008-0000-1A00-00002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235</xdr:row>
      <xdr:rowOff>63499</xdr:rowOff>
    </xdr:from>
    <xdr:to>
      <xdr:col>3</xdr:col>
      <xdr:colOff>74083</xdr:colOff>
      <xdr:row>238</xdr:row>
      <xdr:rowOff>0</xdr:rowOff>
    </xdr:to>
    <xdr:sp macro="" textlink="">
      <xdr:nvSpPr>
        <xdr:cNvPr id="44" name="Cuadro de texto 134">
          <a:extLst>
            <a:ext uri="{FF2B5EF4-FFF2-40B4-BE49-F238E27FC236}">
              <a16:creationId xmlns:a16="http://schemas.microsoft.com/office/drawing/2014/main" xmlns="" id="{00000000-0008-0000-1A00-00002C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273</xdr:row>
      <xdr:rowOff>132925</xdr:rowOff>
    </xdr:from>
    <xdr:ext cx="811107" cy="720515"/>
    <xdr:pic>
      <xdr:nvPicPr>
        <xdr:cNvPr id="45" name="33 Imagen">
          <a:extLst>
            <a:ext uri="{FF2B5EF4-FFF2-40B4-BE49-F238E27FC236}">
              <a16:creationId xmlns:a16="http://schemas.microsoft.com/office/drawing/2014/main" xmlns="" id="{00000000-0008-0000-1A00-00002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273</xdr:row>
      <xdr:rowOff>152822</xdr:rowOff>
    </xdr:from>
    <xdr:ext cx="800101" cy="708237"/>
    <xdr:pic>
      <xdr:nvPicPr>
        <xdr:cNvPr id="46" name="34 Imagen">
          <a:extLst>
            <a:ext uri="{FF2B5EF4-FFF2-40B4-BE49-F238E27FC236}">
              <a16:creationId xmlns:a16="http://schemas.microsoft.com/office/drawing/2014/main" xmlns="" id="{00000000-0008-0000-1A00-00002E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273</xdr:row>
      <xdr:rowOff>63499</xdr:rowOff>
    </xdr:from>
    <xdr:to>
      <xdr:col>3</xdr:col>
      <xdr:colOff>74083</xdr:colOff>
      <xdr:row>276</xdr:row>
      <xdr:rowOff>0</xdr:rowOff>
    </xdr:to>
    <xdr:sp macro="" textlink="">
      <xdr:nvSpPr>
        <xdr:cNvPr id="47" name="Cuadro de texto 134">
          <a:extLst>
            <a:ext uri="{FF2B5EF4-FFF2-40B4-BE49-F238E27FC236}">
              <a16:creationId xmlns:a16="http://schemas.microsoft.com/office/drawing/2014/main" xmlns="" id="{00000000-0008-0000-1A00-00002F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305</xdr:row>
      <xdr:rowOff>132925</xdr:rowOff>
    </xdr:from>
    <xdr:ext cx="811107" cy="720515"/>
    <xdr:pic>
      <xdr:nvPicPr>
        <xdr:cNvPr id="48" name="33 Imagen">
          <a:extLst>
            <a:ext uri="{FF2B5EF4-FFF2-40B4-BE49-F238E27FC236}">
              <a16:creationId xmlns:a16="http://schemas.microsoft.com/office/drawing/2014/main" xmlns="" id="{00000000-0008-0000-1A00-00003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305</xdr:row>
      <xdr:rowOff>152822</xdr:rowOff>
    </xdr:from>
    <xdr:ext cx="800101" cy="708237"/>
    <xdr:pic>
      <xdr:nvPicPr>
        <xdr:cNvPr id="49" name="34 Imagen">
          <a:extLst>
            <a:ext uri="{FF2B5EF4-FFF2-40B4-BE49-F238E27FC236}">
              <a16:creationId xmlns:a16="http://schemas.microsoft.com/office/drawing/2014/main" xmlns="" id="{00000000-0008-0000-1A00-00003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305</xdr:row>
      <xdr:rowOff>63499</xdr:rowOff>
    </xdr:from>
    <xdr:to>
      <xdr:col>3</xdr:col>
      <xdr:colOff>74083</xdr:colOff>
      <xdr:row>308</xdr:row>
      <xdr:rowOff>0</xdr:rowOff>
    </xdr:to>
    <xdr:sp macro="" textlink="">
      <xdr:nvSpPr>
        <xdr:cNvPr id="50" name="Cuadro de texto 134">
          <a:extLst>
            <a:ext uri="{FF2B5EF4-FFF2-40B4-BE49-F238E27FC236}">
              <a16:creationId xmlns:a16="http://schemas.microsoft.com/office/drawing/2014/main" xmlns="" id="{00000000-0008-0000-1A00-000032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343</xdr:row>
      <xdr:rowOff>132925</xdr:rowOff>
    </xdr:from>
    <xdr:ext cx="811107" cy="720515"/>
    <xdr:pic>
      <xdr:nvPicPr>
        <xdr:cNvPr id="51" name="33 Imagen">
          <a:extLst>
            <a:ext uri="{FF2B5EF4-FFF2-40B4-BE49-F238E27FC236}">
              <a16:creationId xmlns:a16="http://schemas.microsoft.com/office/drawing/2014/main" xmlns="" id="{00000000-0008-0000-1A00-00003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343</xdr:row>
      <xdr:rowOff>152822</xdr:rowOff>
    </xdr:from>
    <xdr:ext cx="800101" cy="708237"/>
    <xdr:pic>
      <xdr:nvPicPr>
        <xdr:cNvPr id="52" name="34 Imagen">
          <a:extLst>
            <a:ext uri="{FF2B5EF4-FFF2-40B4-BE49-F238E27FC236}">
              <a16:creationId xmlns:a16="http://schemas.microsoft.com/office/drawing/2014/main" xmlns="" id="{00000000-0008-0000-1A00-00003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343</xdr:row>
      <xdr:rowOff>63499</xdr:rowOff>
    </xdr:from>
    <xdr:to>
      <xdr:col>3</xdr:col>
      <xdr:colOff>74083</xdr:colOff>
      <xdr:row>346</xdr:row>
      <xdr:rowOff>0</xdr:rowOff>
    </xdr:to>
    <xdr:sp macro="" textlink="">
      <xdr:nvSpPr>
        <xdr:cNvPr id="53" name="Cuadro de texto 134">
          <a:extLst>
            <a:ext uri="{FF2B5EF4-FFF2-40B4-BE49-F238E27FC236}">
              <a16:creationId xmlns:a16="http://schemas.microsoft.com/office/drawing/2014/main" xmlns="" id="{00000000-0008-0000-1A00-000035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375</xdr:row>
      <xdr:rowOff>132925</xdr:rowOff>
    </xdr:from>
    <xdr:ext cx="811107" cy="720515"/>
    <xdr:pic>
      <xdr:nvPicPr>
        <xdr:cNvPr id="54" name="33 Imagen">
          <a:extLst>
            <a:ext uri="{FF2B5EF4-FFF2-40B4-BE49-F238E27FC236}">
              <a16:creationId xmlns:a16="http://schemas.microsoft.com/office/drawing/2014/main" xmlns="" id="{00000000-0008-0000-1A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375</xdr:row>
      <xdr:rowOff>152822</xdr:rowOff>
    </xdr:from>
    <xdr:ext cx="800101" cy="708237"/>
    <xdr:pic>
      <xdr:nvPicPr>
        <xdr:cNvPr id="55" name="34 Imagen">
          <a:extLst>
            <a:ext uri="{FF2B5EF4-FFF2-40B4-BE49-F238E27FC236}">
              <a16:creationId xmlns:a16="http://schemas.microsoft.com/office/drawing/2014/main" xmlns="" id="{00000000-0008-0000-1A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375</xdr:row>
      <xdr:rowOff>63499</xdr:rowOff>
    </xdr:from>
    <xdr:to>
      <xdr:col>3</xdr:col>
      <xdr:colOff>74083</xdr:colOff>
      <xdr:row>378</xdr:row>
      <xdr:rowOff>0</xdr:rowOff>
    </xdr:to>
    <xdr:sp macro="" textlink="">
      <xdr:nvSpPr>
        <xdr:cNvPr id="56" name="Cuadro de texto 134">
          <a:extLst>
            <a:ext uri="{FF2B5EF4-FFF2-40B4-BE49-F238E27FC236}">
              <a16:creationId xmlns:a16="http://schemas.microsoft.com/office/drawing/2014/main" xmlns="" id="{00000000-0008-0000-1A00-000038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413</xdr:row>
      <xdr:rowOff>132925</xdr:rowOff>
    </xdr:from>
    <xdr:ext cx="811107" cy="720515"/>
    <xdr:pic>
      <xdr:nvPicPr>
        <xdr:cNvPr id="57" name="33 Imagen">
          <a:extLst>
            <a:ext uri="{FF2B5EF4-FFF2-40B4-BE49-F238E27FC236}">
              <a16:creationId xmlns:a16="http://schemas.microsoft.com/office/drawing/2014/main" xmlns="" id="{00000000-0008-0000-1A00-00003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413</xdr:row>
      <xdr:rowOff>152822</xdr:rowOff>
    </xdr:from>
    <xdr:ext cx="800101" cy="708237"/>
    <xdr:pic>
      <xdr:nvPicPr>
        <xdr:cNvPr id="58" name="34 Imagen">
          <a:extLst>
            <a:ext uri="{FF2B5EF4-FFF2-40B4-BE49-F238E27FC236}">
              <a16:creationId xmlns:a16="http://schemas.microsoft.com/office/drawing/2014/main" xmlns="" id="{00000000-0008-0000-1A00-00003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413</xdr:row>
      <xdr:rowOff>63499</xdr:rowOff>
    </xdr:from>
    <xdr:to>
      <xdr:col>3</xdr:col>
      <xdr:colOff>74083</xdr:colOff>
      <xdr:row>416</xdr:row>
      <xdr:rowOff>0</xdr:rowOff>
    </xdr:to>
    <xdr:sp macro="" textlink="">
      <xdr:nvSpPr>
        <xdr:cNvPr id="59" name="Cuadro de texto 134">
          <a:extLst>
            <a:ext uri="{FF2B5EF4-FFF2-40B4-BE49-F238E27FC236}">
              <a16:creationId xmlns:a16="http://schemas.microsoft.com/office/drawing/2014/main" xmlns="" id="{00000000-0008-0000-1A00-00003B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445</xdr:row>
      <xdr:rowOff>132925</xdr:rowOff>
    </xdr:from>
    <xdr:ext cx="811107" cy="720515"/>
    <xdr:pic>
      <xdr:nvPicPr>
        <xdr:cNvPr id="60" name="33 Imagen">
          <a:extLst>
            <a:ext uri="{FF2B5EF4-FFF2-40B4-BE49-F238E27FC236}">
              <a16:creationId xmlns:a16="http://schemas.microsoft.com/office/drawing/2014/main" xmlns="" id="{00000000-0008-0000-1A00-00003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445</xdr:row>
      <xdr:rowOff>152822</xdr:rowOff>
    </xdr:from>
    <xdr:ext cx="800101" cy="708237"/>
    <xdr:pic>
      <xdr:nvPicPr>
        <xdr:cNvPr id="61" name="34 Imagen">
          <a:extLst>
            <a:ext uri="{FF2B5EF4-FFF2-40B4-BE49-F238E27FC236}">
              <a16:creationId xmlns:a16="http://schemas.microsoft.com/office/drawing/2014/main" xmlns="" id="{00000000-0008-0000-1A00-00003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445</xdr:row>
      <xdr:rowOff>63499</xdr:rowOff>
    </xdr:from>
    <xdr:to>
      <xdr:col>3</xdr:col>
      <xdr:colOff>74083</xdr:colOff>
      <xdr:row>448</xdr:row>
      <xdr:rowOff>0</xdr:rowOff>
    </xdr:to>
    <xdr:sp macro="" textlink="">
      <xdr:nvSpPr>
        <xdr:cNvPr id="62" name="Cuadro de texto 134">
          <a:extLst>
            <a:ext uri="{FF2B5EF4-FFF2-40B4-BE49-F238E27FC236}">
              <a16:creationId xmlns:a16="http://schemas.microsoft.com/office/drawing/2014/main" xmlns="" id="{00000000-0008-0000-1A00-00003E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483</xdr:row>
      <xdr:rowOff>132925</xdr:rowOff>
    </xdr:from>
    <xdr:ext cx="811107" cy="720515"/>
    <xdr:pic>
      <xdr:nvPicPr>
        <xdr:cNvPr id="63" name="33 Imagen">
          <a:extLst>
            <a:ext uri="{FF2B5EF4-FFF2-40B4-BE49-F238E27FC236}">
              <a16:creationId xmlns:a16="http://schemas.microsoft.com/office/drawing/2014/main" xmlns="" id="{00000000-0008-0000-1A00-00003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483</xdr:row>
      <xdr:rowOff>152822</xdr:rowOff>
    </xdr:from>
    <xdr:ext cx="800101" cy="708237"/>
    <xdr:pic>
      <xdr:nvPicPr>
        <xdr:cNvPr id="64" name="34 Imagen">
          <a:extLst>
            <a:ext uri="{FF2B5EF4-FFF2-40B4-BE49-F238E27FC236}">
              <a16:creationId xmlns:a16="http://schemas.microsoft.com/office/drawing/2014/main" xmlns="" id="{00000000-0008-0000-1A00-000040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483</xdr:row>
      <xdr:rowOff>63499</xdr:rowOff>
    </xdr:from>
    <xdr:to>
      <xdr:col>3</xdr:col>
      <xdr:colOff>74083</xdr:colOff>
      <xdr:row>486</xdr:row>
      <xdr:rowOff>0</xdr:rowOff>
    </xdr:to>
    <xdr:sp macro="" textlink="">
      <xdr:nvSpPr>
        <xdr:cNvPr id="65" name="Cuadro de texto 134">
          <a:extLst>
            <a:ext uri="{FF2B5EF4-FFF2-40B4-BE49-F238E27FC236}">
              <a16:creationId xmlns:a16="http://schemas.microsoft.com/office/drawing/2014/main" xmlns="" id="{00000000-0008-0000-1A00-000041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515</xdr:row>
      <xdr:rowOff>132925</xdr:rowOff>
    </xdr:from>
    <xdr:ext cx="811107" cy="720515"/>
    <xdr:pic>
      <xdr:nvPicPr>
        <xdr:cNvPr id="66" name="33 Imagen">
          <a:extLst>
            <a:ext uri="{FF2B5EF4-FFF2-40B4-BE49-F238E27FC236}">
              <a16:creationId xmlns:a16="http://schemas.microsoft.com/office/drawing/2014/main" xmlns="" id="{00000000-0008-0000-1A00-00004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515</xdr:row>
      <xdr:rowOff>152822</xdr:rowOff>
    </xdr:from>
    <xdr:ext cx="800101" cy="708237"/>
    <xdr:pic>
      <xdr:nvPicPr>
        <xdr:cNvPr id="67" name="34 Imagen">
          <a:extLst>
            <a:ext uri="{FF2B5EF4-FFF2-40B4-BE49-F238E27FC236}">
              <a16:creationId xmlns:a16="http://schemas.microsoft.com/office/drawing/2014/main" xmlns="" id="{00000000-0008-0000-1A00-00004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515</xdr:row>
      <xdr:rowOff>63499</xdr:rowOff>
    </xdr:from>
    <xdr:to>
      <xdr:col>3</xdr:col>
      <xdr:colOff>74083</xdr:colOff>
      <xdr:row>518</xdr:row>
      <xdr:rowOff>0</xdr:rowOff>
    </xdr:to>
    <xdr:sp macro="" textlink="">
      <xdr:nvSpPr>
        <xdr:cNvPr id="68" name="Cuadro de texto 134">
          <a:extLst>
            <a:ext uri="{FF2B5EF4-FFF2-40B4-BE49-F238E27FC236}">
              <a16:creationId xmlns:a16="http://schemas.microsoft.com/office/drawing/2014/main" xmlns="" id="{00000000-0008-0000-1A00-000044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553</xdr:row>
      <xdr:rowOff>132925</xdr:rowOff>
    </xdr:from>
    <xdr:ext cx="811107" cy="720515"/>
    <xdr:pic>
      <xdr:nvPicPr>
        <xdr:cNvPr id="69" name="33 Imagen">
          <a:extLst>
            <a:ext uri="{FF2B5EF4-FFF2-40B4-BE49-F238E27FC236}">
              <a16:creationId xmlns:a16="http://schemas.microsoft.com/office/drawing/2014/main" xmlns="" id="{00000000-0008-0000-1A00-00004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553</xdr:row>
      <xdr:rowOff>152822</xdr:rowOff>
    </xdr:from>
    <xdr:ext cx="800101" cy="708237"/>
    <xdr:pic>
      <xdr:nvPicPr>
        <xdr:cNvPr id="70" name="34 Imagen">
          <a:extLst>
            <a:ext uri="{FF2B5EF4-FFF2-40B4-BE49-F238E27FC236}">
              <a16:creationId xmlns:a16="http://schemas.microsoft.com/office/drawing/2014/main" xmlns="" id="{00000000-0008-0000-1A00-00004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553</xdr:row>
      <xdr:rowOff>63499</xdr:rowOff>
    </xdr:from>
    <xdr:to>
      <xdr:col>3</xdr:col>
      <xdr:colOff>74083</xdr:colOff>
      <xdr:row>556</xdr:row>
      <xdr:rowOff>0</xdr:rowOff>
    </xdr:to>
    <xdr:sp macro="" textlink="">
      <xdr:nvSpPr>
        <xdr:cNvPr id="71" name="Cuadro de texto 134">
          <a:extLst>
            <a:ext uri="{FF2B5EF4-FFF2-40B4-BE49-F238E27FC236}">
              <a16:creationId xmlns:a16="http://schemas.microsoft.com/office/drawing/2014/main" xmlns="" id="{00000000-0008-0000-1A00-000047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585</xdr:row>
      <xdr:rowOff>132925</xdr:rowOff>
    </xdr:from>
    <xdr:ext cx="811107" cy="720515"/>
    <xdr:pic>
      <xdr:nvPicPr>
        <xdr:cNvPr id="72" name="33 Imagen">
          <a:extLst>
            <a:ext uri="{FF2B5EF4-FFF2-40B4-BE49-F238E27FC236}">
              <a16:creationId xmlns:a16="http://schemas.microsoft.com/office/drawing/2014/main" xmlns="" id="{00000000-0008-0000-1A00-00004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585</xdr:row>
      <xdr:rowOff>152822</xdr:rowOff>
    </xdr:from>
    <xdr:ext cx="800101" cy="708237"/>
    <xdr:pic>
      <xdr:nvPicPr>
        <xdr:cNvPr id="73" name="34 Imagen">
          <a:extLst>
            <a:ext uri="{FF2B5EF4-FFF2-40B4-BE49-F238E27FC236}">
              <a16:creationId xmlns:a16="http://schemas.microsoft.com/office/drawing/2014/main" xmlns="" id="{00000000-0008-0000-1A00-00004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585</xdr:row>
      <xdr:rowOff>63499</xdr:rowOff>
    </xdr:from>
    <xdr:to>
      <xdr:col>3</xdr:col>
      <xdr:colOff>74083</xdr:colOff>
      <xdr:row>588</xdr:row>
      <xdr:rowOff>0</xdr:rowOff>
    </xdr:to>
    <xdr:sp macro="" textlink="">
      <xdr:nvSpPr>
        <xdr:cNvPr id="74" name="Cuadro de texto 134">
          <a:extLst>
            <a:ext uri="{FF2B5EF4-FFF2-40B4-BE49-F238E27FC236}">
              <a16:creationId xmlns:a16="http://schemas.microsoft.com/office/drawing/2014/main" xmlns="" id="{00000000-0008-0000-1A00-00004A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623</xdr:row>
      <xdr:rowOff>132925</xdr:rowOff>
    </xdr:from>
    <xdr:ext cx="811107" cy="720515"/>
    <xdr:pic>
      <xdr:nvPicPr>
        <xdr:cNvPr id="75" name="33 Imagen">
          <a:extLst>
            <a:ext uri="{FF2B5EF4-FFF2-40B4-BE49-F238E27FC236}">
              <a16:creationId xmlns:a16="http://schemas.microsoft.com/office/drawing/2014/main" xmlns="" id="{00000000-0008-0000-1A00-00004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623</xdr:row>
      <xdr:rowOff>152822</xdr:rowOff>
    </xdr:from>
    <xdr:ext cx="800101" cy="708237"/>
    <xdr:pic>
      <xdr:nvPicPr>
        <xdr:cNvPr id="76" name="34 Imagen">
          <a:extLst>
            <a:ext uri="{FF2B5EF4-FFF2-40B4-BE49-F238E27FC236}">
              <a16:creationId xmlns:a16="http://schemas.microsoft.com/office/drawing/2014/main" xmlns="" id="{00000000-0008-0000-1A00-00004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623</xdr:row>
      <xdr:rowOff>63499</xdr:rowOff>
    </xdr:from>
    <xdr:to>
      <xdr:col>3</xdr:col>
      <xdr:colOff>74083</xdr:colOff>
      <xdr:row>626</xdr:row>
      <xdr:rowOff>0</xdr:rowOff>
    </xdr:to>
    <xdr:sp macro="" textlink="">
      <xdr:nvSpPr>
        <xdr:cNvPr id="77" name="Cuadro de texto 134">
          <a:extLst>
            <a:ext uri="{FF2B5EF4-FFF2-40B4-BE49-F238E27FC236}">
              <a16:creationId xmlns:a16="http://schemas.microsoft.com/office/drawing/2014/main" xmlns="" id="{00000000-0008-0000-1A00-00004D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655</xdr:row>
      <xdr:rowOff>132925</xdr:rowOff>
    </xdr:from>
    <xdr:ext cx="811107" cy="720515"/>
    <xdr:pic>
      <xdr:nvPicPr>
        <xdr:cNvPr id="78" name="33 Imagen">
          <a:extLst>
            <a:ext uri="{FF2B5EF4-FFF2-40B4-BE49-F238E27FC236}">
              <a16:creationId xmlns:a16="http://schemas.microsoft.com/office/drawing/2014/main" xmlns="" id="{00000000-0008-0000-1A00-00004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655</xdr:row>
      <xdr:rowOff>152822</xdr:rowOff>
    </xdr:from>
    <xdr:ext cx="800101" cy="708237"/>
    <xdr:pic>
      <xdr:nvPicPr>
        <xdr:cNvPr id="79" name="34 Imagen">
          <a:extLst>
            <a:ext uri="{FF2B5EF4-FFF2-40B4-BE49-F238E27FC236}">
              <a16:creationId xmlns:a16="http://schemas.microsoft.com/office/drawing/2014/main" xmlns="" id="{00000000-0008-0000-1A00-00004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655</xdr:row>
      <xdr:rowOff>63499</xdr:rowOff>
    </xdr:from>
    <xdr:to>
      <xdr:col>3</xdr:col>
      <xdr:colOff>74083</xdr:colOff>
      <xdr:row>658</xdr:row>
      <xdr:rowOff>0</xdr:rowOff>
    </xdr:to>
    <xdr:sp macro="" textlink="">
      <xdr:nvSpPr>
        <xdr:cNvPr id="80" name="Cuadro de texto 134">
          <a:extLst>
            <a:ext uri="{FF2B5EF4-FFF2-40B4-BE49-F238E27FC236}">
              <a16:creationId xmlns:a16="http://schemas.microsoft.com/office/drawing/2014/main" xmlns="" id="{00000000-0008-0000-1A00-000050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11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43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17455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2354580" y="9144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6" name="33 Imagen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7" name="34 Imagen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8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17455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2354580" y="610362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52</xdr:row>
      <xdr:rowOff>62447</xdr:rowOff>
    </xdr:from>
    <xdr:ext cx="653861" cy="748192"/>
    <xdr:pic>
      <xdr:nvPicPr>
        <xdr:cNvPr id="10" name="33 Imagen">
          <a:extLst>
            <a:ext uri="{FF2B5EF4-FFF2-40B4-BE49-F238E27FC236}">
              <a16:creationId xmlns:a16="http://schemas.microsoft.com/office/drawing/2014/main" xmlns="" id="{00000000-0008-0000-1B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397656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52</xdr:row>
      <xdr:rowOff>23329</xdr:rowOff>
    </xdr:from>
    <xdr:ext cx="615761" cy="771096"/>
    <xdr:pic>
      <xdr:nvPicPr>
        <xdr:cNvPr id="11" name="34 Imagen">
          <a:extLst>
            <a:ext uri="{FF2B5EF4-FFF2-40B4-BE49-F238E27FC236}">
              <a16:creationId xmlns:a16="http://schemas.microsoft.com/office/drawing/2014/main" xmlns="" id="{00000000-0008-0000-1B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1393744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52</xdr:row>
      <xdr:rowOff>14392</xdr:rowOff>
    </xdr:from>
    <xdr:ext cx="1742872" cy="812459"/>
    <xdr:pic>
      <xdr:nvPicPr>
        <xdr:cNvPr id="12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B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661363" y="1392851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52</xdr:row>
      <xdr:rowOff>91440</xdr:rowOff>
    </xdr:from>
    <xdr:to>
      <xdr:col>16</xdr:col>
      <xdr:colOff>723900</xdr:colOff>
      <xdr:row>56</xdr:row>
      <xdr:rowOff>137160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2354580" y="14005560"/>
          <a:ext cx="1027176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1</xdr:col>
      <xdr:colOff>2756</xdr:colOff>
      <xdr:row>0</xdr:row>
      <xdr:rowOff>86764</xdr:rowOff>
    </xdr:from>
    <xdr:ext cx="759244" cy="821151"/>
    <xdr:pic>
      <xdr:nvPicPr>
        <xdr:cNvPr id="14" name="33 Imagen">
          <a:extLst>
            <a:ext uri="{FF2B5EF4-FFF2-40B4-BE49-F238E27FC236}">
              <a16:creationId xmlns:a16="http://schemas.microsoft.com/office/drawing/2014/main" xmlns="" id="{00000000-0008-0000-1B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11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15" name="34 Imagen">
          <a:extLst>
            <a:ext uri="{FF2B5EF4-FFF2-40B4-BE49-F238E27FC236}">
              <a16:creationId xmlns:a16="http://schemas.microsoft.com/office/drawing/2014/main" xmlns="" id="{00000000-0008-0000-1B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43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1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B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17455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2354580" y="9144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18" name="33 Imagen">
          <a:extLst>
            <a:ext uri="{FF2B5EF4-FFF2-40B4-BE49-F238E27FC236}">
              <a16:creationId xmlns:a16="http://schemas.microsoft.com/office/drawing/2014/main" xmlns="" id="{00000000-0008-0000-1B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19" name="34 Imagen">
          <a:extLst>
            <a:ext uri="{FF2B5EF4-FFF2-40B4-BE49-F238E27FC236}">
              <a16:creationId xmlns:a16="http://schemas.microsoft.com/office/drawing/2014/main" xmlns="" id="{00000000-0008-0000-1B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20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B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17455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2354580" y="610362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52</xdr:row>
      <xdr:rowOff>62447</xdr:rowOff>
    </xdr:from>
    <xdr:ext cx="653861" cy="748192"/>
    <xdr:pic>
      <xdr:nvPicPr>
        <xdr:cNvPr id="22" name="33 Imagen">
          <a:extLst>
            <a:ext uri="{FF2B5EF4-FFF2-40B4-BE49-F238E27FC236}">
              <a16:creationId xmlns:a16="http://schemas.microsoft.com/office/drawing/2014/main" xmlns="" id="{00000000-0008-0000-1B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397656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52</xdr:row>
      <xdr:rowOff>23329</xdr:rowOff>
    </xdr:from>
    <xdr:ext cx="615761" cy="771096"/>
    <xdr:pic>
      <xdr:nvPicPr>
        <xdr:cNvPr id="23" name="34 Imagen">
          <a:extLst>
            <a:ext uri="{FF2B5EF4-FFF2-40B4-BE49-F238E27FC236}">
              <a16:creationId xmlns:a16="http://schemas.microsoft.com/office/drawing/2014/main" xmlns="" id="{00000000-0008-0000-1B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1393744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52</xdr:row>
      <xdr:rowOff>14392</xdr:rowOff>
    </xdr:from>
    <xdr:ext cx="1742872" cy="812459"/>
    <xdr:pic>
      <xdr:nvPicPr>
        <xdr:cNvPr id="24" name="35 Imagen" descr="D:\José Luis Gavidia\Logo\logo.jpg">
          <a:extLst>
            <a:ext uri="{FF2B5EF4-FFF2-40B4-BE49-F238E27FC236}">
              <a16:creationId xmlns:a16="http://schemas.microsoft.com/office/drawing/2014/main" xmlns="" id="{00000000-0008-0000-1B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661363" y="1392851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52</xdr:row>
      <xdr:rowOff>91440</xdr:rowOff>
    </xdr:from>
    <xdr:to>
      <xdr:col>16</xdr:col>
      <xdr:colOff>723900</xdr:colOff>
      <xdr:row>56</xdr:row>
      <xdr:rowOff>137160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2354580" y="14005560"/>
          <a:ext cx="1027176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133773</xdr:colOff>
      <xdr:row>0</xdr:row>
      <xdr:rowOff>132925</xdr:rowOff>
    </xdr:from>
    <xdr:ext cx="811107" cy="720515"/>
    <xdr:pic>
      <xdr:nvPicPr>
        <xdr:cNvPr id="2" name="33 Imagen">
          <a:extLst>
            <a:ext uri="{FF2B5EF4-FFF2-40B4-BE49-F238E27FC236}">
              <a16:creationId xmlns:a16="http://schemas.microsoft.com/office/drawing/2014/main" xmlns="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0</xdr:row>
      <xdr:rowOff>152822</xdr:rowOff>
    </xdr:from>
    <xdr:ext cx="800101" cy="708237"/>
    <xdr:pic>
      <xdr:nvPicPr>
        <xdr:cNvPr id="3" name="34 Imagen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0</xdr:row>
      <xdr:rowOff>63499</xdr:rowOff>
    </xdr:from>
    <xdr:to>
      <xdr:col>3</xdr:col>
      <xdr:colOff>74083</xdr:colOff>
      <xdr:row>3</xdr:row>
      <xdr:rowOff>0</xdr:rowOff>
    </xdr:to>
    <xdr:sp macro="" textlink="">
      <xdr:nvSpPr>
        <xdr:cNvPr id="4" name="Cuadro de texto 134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32</xdr:row>
      <xdr:rowOff>132925</xdr:rowOff>
    </xdr:from>
    <xdr:ext cx="811107" cy="720515"/>
    <xdr:pic>
      <xdr:nvPicPr>
        <xdr:cNvPr id="5" name="33 Imagen">
          <a:extLst>
            <a:ext uri="{FF2B5EF4-FFF2-40B4-BE49-F238E27FC236}">
              <a16:creationId xmlns:a16="http://schemas.microsoft.com/office/drawing/2014/main" xmlns="" id="{00000000-0008-0000-1C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32</xdr:row>
      <xdr:rowOff>152822</xdr:rowOff>
    </xdr:from>
    <xdr:ext cx="800101" cy="708237"/>
    <xdr:pic>
      <xdr:nvPicPr>
        <xdr:cNvPr id="6" name="34 Imagen">
          <a:extLst>
            <a:ext uri="{FF2B5EF4-FFF2-40B4-BE49-F238E27FC236}">
              <a16:creationId xmlns:a16="http://schemas.microsoft.com/office/drawing/2014/main" xmlns="" id="{00000000-0008-0000-1C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32</xdr:row>
      <xdr:rowOff>63499</xdr:rowOff>
    </xdr:from>
    <xdr:to>
      <xdr:col>3</xdr:col>
      <xdr:colOff>74083</xdr:colOff>
      <xdr:row>35</xdr:row>
      <xdr:rowOff>0</xdr:rowOff>
    </xdr:to>
    <xdr:sp macro="" textlink="">
      <xdr:nvSpPr>
        <xdr:cNvPr id="7" name="Cuadro de texto 134">
          <a:extLst>
            <a:ext uri="{FF2B5EF4-FFF2-40B4-BE49-F238E27FC236}">
              <a16:creationId xmlns:a16="http://schemas.microsoft.com/office/drawing/2014/main" xmlns="" id="{00000000-0008-0000-1C00-000007000000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68</xdr:row>
      <xdr:rowOff>132925</xdr:rowOff>
    </xdr:from>
    <xdr:ext cx="811107" cy="720515"/>
    <xdr:pic>
      <xdr:nvPicPr>
        <xdr:cNvPr id="8" name="33 Imagen">
          <a:extLst>
            <a:ext uri="{FF2B5EF4-FFF2-40B4-BE49-F238E27FC236}">
              <a16:creationId xmlns:a16="http://schemas.microsoft.com/office/drawing/2014/main" xmlns="" id="{00000000-0008-0000-1C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42985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68</xdr:row>
      <xdr:rowOff>152822</xdr:rowOff>
    </xdr:from>
    <xdr:ext cx="800101" cy="708237"/>
    <xdr:pic>
      <xdr:nvPicPr>
        <xdr:cNvPr id="9" name="34 Imagen">
          <a:extLst>
            <a:ext uri="{FF2B5EF4-FFF2-40B4-BE49-F238E27FC236}">
              <a16:creationId xmlns:a16="http://schemas.microsoft.com/office/drawing/2014/main" xmlns="" id="{00000000-0008-0000-1C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43184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68</xdr:row>
      <xdr:rowOff>63499</xdr:rowOff>
    </xdr:from>
    <xdr:to>
      <xdr:col>3</xdr:col>
      <xdr:colOff>74083</xdr:colOff>
      <xdr:row>71</xdr:row>
      <xdr:rowOff>0</xdr:rowOff>
    </xdr:to>
    <xdr:sp macro="" textlink="">
      <xdr:nvSpPr>
        <xdr:cNvPr id="10" name="Cuadro de texto 134">
          <a:extLst>
            <a:ext uri="{FF2B5EF4-FFF2-40B4-BE49-F238E27FC236}">
              <a16:creationId xmlns:a16="http://schemas.microsoft.com/office/drawing/2014/main" xmlns="" id="{00000000-0008-0000-1C00-00000A000000}"/>
            </a:ext>
          </a:extLst>
        </xdr:cNvPr>
        <xdr:cNvSpPr txBox="1">
          <a:spLocks noChangeArrowheads="1"/>
        </xdr:cNvSpPr>
      </xdr:nvSpPr>
      <xdr:spPr bwMode="auto">
        <a:xfrm>
          <a:off x="963083" y="14229079"/>
          <a:ext cx="4635500" cy="9347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100</xdr:row>
      <xdr:rowOff>132925</xdr:rowOff>
    </xdr:from>
    <xdr:ext cx="811107" cy="720515"/>
    <xdr:pic>
      <xdr:nvPicPr>
        <xdr:cNvPr id="11" name="33 Imagen">
          <a:extLst>
            <a:ext uri="{FF2B5EF4-FFF2-40B4-BE49-F238E27FC236}">
              <a16:creationId xmlns:a16="http://schemas.microsoft.com/office/drawing/2014/main" xmlns="" id="{00000000-0008-0000-1C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213089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100</xdr:row>
      <xdr:rowOff>152822</xdr:rowOff>
    </xdr:from>
    <xdr:ext cx="800101" cy="708237"/>
    <xdr:pic>
      <xdr:nvPicPr>
        <xdr:cNvPr id="12" name="34 Imagen">
          <a:extLst>
            <a:ext uri="{FF2B5EF4-FFF2-40B4-BE49-F238E27FC236}">
              <a16:creationId xmlns:a16="http://schemas.microsoft.com/office/drawing/2014/main" xmlns="" id="{00000000-0008-0000-1C00-00000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213288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100</xdr:row>
      <xdr:rowOff>63499</xdr:rowOff>
    </xdr:from>
    <xdr:to>
      <xdr:col>3</xdr:col>
      <xdr:colOff>74083</xdr:colOff>
      <xdr:row>103</xdr:row>
      <xdr:rowOff>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1C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21239479"/>
          <a:ext cx="4635500" cy="8966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88053</xdr:colOff>
      <xdr:row>133</xdr:row>
      <xdr:rowOff>110065</xdr:rowOff>
    </xdr:from>
    <xdr:ext cx="811107" cy="720515"/>
    <xdr:pic>
      <xdr:nvPicPr>
        <xdr:cNvPr id="14" name="33 Imagen">
          <a:extLst>
            <a:ext uri="{FF2B5EF4-FFF2-40B4-BE49-F238E27FC236}">
              <a16:creationId xmlns:a16="http://schemas.microsoft.com/office/drawing/2014/main" xmlns="" id="{00000000-0008-0000-1C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" y="284412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3</xdr:col>
      <xdr:colOff>403860</xdr:colOff>
      <xdr:row>133</xdr:row>
      <xdr:rowOff>76622</xdr:rowOff>
    </xdr:from>
    <xdr:ext cx="800101" cy="708237"/>
    <xdr:pic>
      <xdr:nvPicPr>
        <xdr:cNvPr id="15" name="34 Imagen">
          <a:extLst>
            <a:ext uri="{FF2B5EF4-FFF2-40B4-BE49-F238E27FC236}">
              <a16:creationId xmlns:a16="http://schemas.microsoft.com/office/drawing/2014/main" xmlns="" id="{00000000-0008-0000-1C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8360" y="284077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963082</xdr:colOff>
      <xdr:row>133</xdr:row>
      <xdr:rowOff>63499</xdr:rowOff>
    </xdr:from>
    <xdr:to>
      <xdr:col>3</xdr:col>
      <xdr:colOff>731519</xdr:colOff>
      <xdr:row>136</xdr:row>
      <xdr:rowOff>0</xdr:rowOff>
    </xdr:to>
    <xdr:sp macro="" textlink="">
      <xdr:nvSpPr>
        <xdr:cNvPr id="16" name="Cuadro de texto 134">
          <a:extLst>
            <a:ext uri="{FF2B5EF4-FFF2-40B4-BE49-F238E27FC236}">
              <a16:creationId xmlns:a16="http://schemas.microsoft.com/office/drawing/2014/main" xmlns="" id="{00000000-0008-0000-1C00-000010000000}"/>
            </a:ext>
          </a:extLst>
        </xdr:cNvPr>
        <xdr:cNvSpPr txBox="1">
          <a:spLocks noChangeArrowheads="1"/>
        </xdr:cNvSpPr>
      </xdr:nvSpPr>
      <xdr:spPr bwMode="auto">
        <a:xfrm>
          <a:off x="963082" y="28394659"/>
          <a:ext cx="5292937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165</xdr:row>
      <xdr:rowOff>132925</xdr:rowOff>
    </xdr:from>
    <xdr:ext cx="811107" cy="720515"/>
    <xdr:pic>
      <xdr:nvPicPr>
        <xdr:cNvPr id="17" name="33 Imagen">
          <a:extLst>
            <a:ext uri="{FF2B5EF4-FFF2-40B4-BE49-F238E27FC236}">
              <a16:creationId xmlns:a16="http://schemas.microsoft.com/office/drawing/2014/main" xmlns="" id="{00000000-0008-0000-1C00-00001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350325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165</xdr:row>
      <xdr:rowOff>152822</xdr:rowOff>
    </xdr:from>
    <xdr:ext cx="800101" cy="708237"/>
    <xdr:pic>
      <xdr:nvPicPr>
        <xdr:cNvPr id="18" name="34 Imagen">
          <a:extLst>
            <a:ext uri="{FF2B5EF4-FFF2-40B4-BE49-F238E27FC236}">
              <a16:creationId xmlns:a16="http://schemas.microsoft.com/office/drawing/2014/main" xmlns="" id="{00000000-0008-0000-1C00-00001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50524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165</xdr:row>
      <xdr:rowOff>63499</xdr:rowOff>
    </xdr:from>
    <xdr:to>
      <xdr:col>3</xdr:col>
      <xdr:colOff>74083</xdr:colOff>
      <xdr:row>168</xdr:row>
      <xdr:rowOff>0</xdr:rowOff>
    </xdr:to>
    <xdr:sp macro="" textlink="">
      <xdr:nvSpPr>
        <xdr:cNvPr id="19" name="Cuadro de texto 134">
          <a:extLst>
            <a:ext uri="{FF2B5EF4-FFF2-40B4-BE49-F238E27FC236}">
              <a16:creationId xmlns:a16="http://schemas.microsoft.com/office/drawing/2014/main" xmlns="" id="{00000000-0008-0000-1C00-000013000000}"/>
            </a:ext>
          </a:extLst>
        </xdr:cNvPr>
        <xdr:cNvSpPr txBox="1">
          <a:spLocks noChangeArrowheads="1"/>
        </xdr:cNvSpPr>
      </xdr:nvSpPr>
      <xdr:spPr bwMode="auto">
        <a:xfrm>
          <a:off x="963083" y="3496309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203</xdr:row>
      <xdr:rowOff>132925</xdr:rowOff>
    </xdr:from>
    <xdr:ext cx="811107" cy="720515"/>
    <xdr:pic>
      <xdr:nvPicPr>
        <xdr:cNvPr id="20" name="33 Imagen">
          <a:extLst>
            <a:ext uri="{FF2B5EF4-FFF2-40B4-BE49-F238E27FC236}">
              <a16:creationId xmlns:a16="http://schemas.microsoft.com/office/drawing/2014/main" xmlns="" id="{00000000-0008-0000-1C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426982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203</xdr:row>
      <xdr:rowOff>152822</xdr:rowOff>
    </xdr:from>
    <xdr:ext cx="800101" cy="708237"/>
    <xdr:pic>
      <xdr:nvPicPr>
        <xdr:cNvPr id="21" name="34 Imagen">
          <a:extLst>
            <a:ext uri="{FF2B5EF4-FFF2-40B4-BE49-F238E27FC236}">
              <a16:creationId xmlns:a16="http://schemas.microsoft.com/office/drawing/2014/main" xmlns="" id="{00000000-0008-0000-1C00-00001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27181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203</xdr:row>
      <xdr:rowOff>63499</xdr:rowOff>
    </xdr:from>
    <xdr:to>
      <xdr:col>3</xdr:col>
      <xdr:colOff>74083</xdr:colOff>
      <xdr:row>206</xdr:row>
      <xdr:rowOff>0</xdr:rowOff>
    </xdr:to>
    <xdr:sp macro="" textlink="">
      <xdr:nvSpPr>
        <xdr:cNvPr id="22" name="Cuadro de texto 134">
          <a:extLst>
            <a:ext uri="{FF2B5EF4-FFF2-40B4-BE49-F238E27FC236}">
              <a16:creationId xmlns:a16="http://schemas.microsoft.com/office/drawing/2014/main" xmlns="" id="{00000000-0008-0000-1C00-000016000000}"/>
            </a:ext>
          </a:extLst>
        </xdr:cNvPr>
        <xdr:cNvSpPr txBox="1">
          <a:spLocks noChangeArrowheads="1"/>
        </xdr:cNvSpPr>
      </xdr:nvSpPr>
      <xdr:spPr bwMode="auto">
        <a:xfrm>
          <a:off x="963083" y="426288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235</xdr:row>
      <xdr:rowOff>132925</xdr:rowOff>
    </xdr:from>
    <xdr:ext cx="811107" cy="720515"/>
    <xdr:pic>
      <xdr:nvPicPr>
        <xdr:cNvPr id="23" name="33 Imagen">
          <a:extLst>
            <a:ext uri="{FF2B5EF4-FFF2-40B4-BE49-F238E27FC236}">
              <a16:creationId xmlns:a16="http://schemas.microsoft.com/office/drawing/2014/main" xmlns="" id="{00000000-0008-0000-1C00-00001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4926668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235</xdr:row>
      <xdr:rowOff>152822</xdr:rowOff>
    </xdr:from>
    <xdr:ext cx="800101" cy="708237"/>
    <xdr:pic>
      <xdr:nvPicPr>
        <xdr:cNvPr id="24" name="34 Imagen">
          <a:extLst>
            <a:ext uri="{FF2B5EF4-FFF2-40B4-BE49-F238E27FC236}">
              <a16:creationId xmlns:a16="http://schemas.microsoft.com/office/drawing/2014/main" xmlns="" id="{00000000-0008-0000-1C00-00001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92865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235</xdr:row>
      <xdr:rowOff>63499</xdr:rowOff>
    </xdr:from>
    <xdr:to>
      <xdr:col>3</xdr:col>
      <xdr:colOff>74083</xdr:colOff>
      <xdr:row>238</xdr:row>
      <xdr:rowOff>0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1C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919725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273</xdr:row>
      <xdr:rowOff>132925</xdr:rowOff>
    </xdr:from>
    <xdr:ext cx="811107" cy="720515"/>
    <xdr:pic>
      <xdr:nvPicPr>
        <xdr:cNvPr id="26" name="33 Imagen">
          <a:extLst>
            <a:ext uri="{FF2B5EF4-FFF2-40B4-BE49-F238E27FC236}">
              <a16:creationId xmlns:a16="http://schemas.microsoft.com/office/drawing/2014/main" xmlns="" id="{00000000-0008-0000-1C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569324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273</xdr:row>
      <xdr:rowOff>152822</xdr:rowOff>
    </xdr:from>
    <xdr:ext cx="800101" cy="708237"/>
    <xdr:pic>
      <xdr:nvPicPr>
        <xdr:cNvPr id="27" name="34 Imagen">
          <a:extLst>
            <a:ext uri="{FF2B5EF4-FFF2-40B4-BE49-F238E27FC236}">
              <a16:creationId xmlns:a16="http://schemas.microsoft.com/office/drawing/2014/main" xmlns="" id="{00000000-0008-0000-1C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569523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273</xdr:row>
      <xdr:rowOff>63499</xdr:rowOff>
    </xdr:from>
    <xdr:to>
      <xdr:col>3</xdr:col>
      <xdr:colOff>74083</xdr:colOff>
      <xdr:row>276</xdr:row>
      <xdr:rowOff>0</xdr:rowOff>
    </xdr:to>
    <xdr:sp macro="" textlink="">
      <xdr:nvSpPr>
        <xdr:cNvPr id="28" name="Cuadro de texto 134">
          <a:extLst>
            <a:ext uri="{FF2B5EF4-FFF2-40B4-BE49-F238E27FC236}">
              <a16:creationId xmlns:a16="http://schemas.microsoft.com/office/drawing/2014/main" xmlns="" id="{00000000-0008-0000-1C00-00001C000000}"/>
            </a:ext>
          </a:extLst>
        </xdr:cNvPr>
        <xdr:cNvSpPr txBox="1">
          <a:spLocks noChangeArrowheads="1"/>
        </xdr:cNvSpPr>
      </xdr:nvSpPr>
      <xdr:spPr bwMode="auto">
        <a:xfrm>
          <a:off x="963083" y="568629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305</xdr:row>
      <xdr:rowOff>132925</xdr:rowOff>
    </xdr:from>
    <xdr:ext cx="811107" cy="720515"/>
    <xdr:pic>
      <xdr:nvPicPr>
        <xdr:cNvPr id="29" name="33 Imagen">
          <a:extLst>
            <a:ext uri="{FF2B5EF4-FFF2-40B4-BE49-F238E27FC236}">
              <a16:creationId xmlns:a16="http://schemas.microsoft.com/office/drawing/2014/main" xmlns="" id="{00000000-0008-0000-1C00-00001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35008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305</xdr:row>
      <xdr:rowOff>152822</xdr:rowOff>
    </xdr:from>
    <xdr:ext cx="800101" cy="708237"/>
    <xdr:pic>
      <xdr:nvPicPr>
        <xdr:cNvPr id="30" name="34 Imagen">
          <a:extLst>
            <a:ext uri="{FF2B5EF4-FFF2-40B4-BE49-F238E27FC236}">
              <a16:creationId xmlns:a16="http://schemas.microsoft.com/office/drawing/2014/main" xmlns="" id="{00000000-0008-0000-1C00-00001E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35207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305</xdr:row>
      <xdr:rowOff>63499</xdr:rowOff>
    </xdr:from>
    <xdr:to>
      <xdr:col>3</xdr:col>
      <xdr:colOff>74083</xdr:colOff>
      <xdr:row>308</xdr:row>
      <xdr:rowOff>0</xdr:rowOff>
    </xdr:to>
    <xdr:sp macro="" textlink="">
      <xdr:nvSpPr>
        <xdr:cNvPr id="31" name="Cuadro de texto 134">
          <a:extLst>
            <a:ext uri="{FF2B5EF4-FFF2-40B4-BE49-F238E27FC236}">
              <a16:creationId xmlns:a16="http://schemas.microsoft.com/office/drawing/2014/main" xmlns="" id="{00000000-0008-0000-1C00-00001F000000}"/>
            </a:ext>
          </a:extLst>
        </xdr:cNvPr>
        <xdr:cNvSpPr txBox="1">
          <a:spLocks noChangeArrowheads="1"/>
        </xdr:cNvSpPr>
      </xdr:nvSpPr>
      <xdr:spPr bwMode="auto">
        <a:xfrm>
          <a:off x="963083" y="634314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343</xdr:row>
      <xdr:rowOff>132925</xdr:rowOff>
    </xdr:from>
    <xdr:ext cx="811107" cy="720515"/>
    <xdr:pic>
      <xdr:nvPicPr>
        <xdr:cNvPr id="32" name="33 Imagen">
          <a:extLst>
            <a:ext uri="{FF2B5EF4-FFF2-40B4-BE49-F238E27FC236}">
              <a16:creationId xmlns:a16="http://schemas.microsoft.com/office/drawing/2014/main" xmlns="" id="{00000000-0008-0000-1C00-00002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710446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343</xdr:row>
      <xdr:rowOff>152822</xdr:rowOff>
    </xdr:from>
    <xdr:ext cx="800101" cy="708237"/>
    <xdr:pic>
      <xdr:nvPicPr>
        <xdr:cNvPr id="33" name="34 Imagen">
          <a:extLst>
            <a:ext uri="{FF2B5EF4-FFF2-40B4-BE49-F238E27FC236}">
              <a16:creationId xmlns:a16="http://schemas.microsoft.com/office/drawing/2014/main" xmlns="" id="{00000000-0008-0000-1C00-00002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710645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343</xdr:row>
      <xdr:rowOff>63499</xdr:rowOff>
    </xdr:from>
    <xdr:to>
      <xdr:col>3</xdr:col>
      <xdr:colOff>74083</xdr:colOff>
      <xdr:row>346</xdr:row>
      <xdr:rowOff>0</xdr:rowOff>
    </xdr:to>
    <xdr:sp macro="" textlink="">
      <xdr:nvSpPr>
        <xdr:cNvPr id="34" name="Cuadro de texto 134">
          <a:extLst>
            <a:ext uri="{FF2B5EF4-FFF2-40B4-BE49-F238E27FC236}">
              <a16:creationId xmlns:a16="http://schemas.microsoft.com/office/drawing/2014/main" xmlns="" id="{00000000-0008-0000-1C00-000022000000}"/>
            </a:ext>
          </a:extLst>
        </xdr:cNvPr>
        <xdr:cNvSpPr txBox="1">
          <a:spLocks noChangeArrowheads="1"/>
        </xdr:cNvSpPr>
      </xdr:nvSpPr>
      <xdr:spPr bwMode="auto">
        <a:xfrm>
          <a:off x="963083" y="709752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375</xdr:row>
      <xdr:rowOff>132925</xdr:rowOff>
    </xdr:from>
    <xdr:ext cx="811107" cy="720515"/>
    <xdr:pic>
      <xdr:nvPicPr>
        <xdr:cNvPr id="35" name="33 Imagen">
          <a:extLst>
            <a:ext uri="{FF2B5EF4-FFF2-40B4-BE49-F238E27FC236}">
              <a16:creationId xmlns:a16="http://schemas.microsoft.com/office/drawing/2014/main" xmlns="" id="{00000000-0008-0000-1C00-00002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7761308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375</xdr:row>
      <xdr:rowOff>152822</xdr:rowOff>
    </xdr:from>
    <xdr:ext cx="800101" cy="708237"/>
    <xdr:pic>
      <xdr:nvPicPr>
        <xdr:cNvPr id="36" name="34 Imagen">
          <a:extLst>
            <a:ext uri="{FF2B5EF4-FFF2-40B4-BE49-F238E27FC236}">
              <a16:creationId xmlns:a16="http://schemas.microsoft.com/office/drawing/2014/main" xmlns="" id="{00000000-0008-0000-1C00-00002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776329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375</xdr:row>
      <xdr:rowOff>63499</xdr:rowOff>
    </xdr:from>
    <xdr:to>
      <xdr:col>3</xdr:col>
      <xdr:colOff>74083</xdr:colOff>
      <xdr:row>378</xdr:row>
      <xdr:rowOff>0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1C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7754365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413</xdr:row>
      <xdr:rowOff>132925</xdr:rowOff>
    </xdr:from>
    <xdr:ext cx="811107" cy="720515"/>
    <xdr:pic>
      <xdr:nvPicPr>
        <xdr:cNvPr id="38" name="33 Imagen">
          <a:extLst>
            <a:ext uri="{FF2B5EF4-FFF2-40B4-BE49-F238E27FC236}">
              <a16:creationId xmlns:a16="http://schemas.microsoft.com/office/drawing/2014/main" xmlns="" id="{00000000-0008-0000-1C00-00002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852788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413</xdr:row>
      <xdr:rowOff>152822</xdr:rowOff>
    </xdr:from>
    <xdr:ext cx="800101" cy="708237"/>
    <xdr:pic>
      <xdr:nvPicPr>
        <xdr:cNvPr id="39" name="34 Imagen">
          <a:extLst>
            <a:ext uri="{FF2B5EF4-FFF2-40B4-BE49-F238E27FC236}">
              <a16:creationId xmlns:a16="http://schemas.microsoft.com/office/drawing/2014/main" xmlns="" id="{00000000-0008-0000-1C00-00002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852987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413</xdr:row>
      <xdr:rowOff>63499</xdr:rowOff>
    </xdr:from>
    <xdr:to>
      <xdr:col>3</xdr:col>
      <xdr:colOff>74083</xdr:colOff>
      <xdr:row>416</xdr:row>
      <xdr:rowOff>0</xdr:rowOff>
    </xdr:to>
    <xdr:sp macro="" textlink="">
      <xdr:nvSpPr>
        <xdr:cNvPr id="40" name="Cuadro de texto 134">
          <a:extLst>
            <a:ext uri="{FF2B5EF4-FFF2-40B4-BE49-F238E27FC236}">
              <a16:creationId xmlns:a16="http://schemas.microsoft.com/office/drawing/2014/main" xmlns="" id="{00000000-0008-0000-1C00-000028000000}"/>
            </a:ext>
          </a:extLst>
        </xdr:cNvPr>
        <xdr:cNvSpPr txBox="1">
          <a:spLocks noChangeArrowheads="1"/>
        </xdr:cNvSpPr>
      </xdr:nvSpPr>
      <xdr:spPr bwMode="auto">
        <a:xfrm>
          <a:off x="963083" y="852093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445</xdr:row>
      <xdr:rowOff>132925</xdr:rowOff>
    </xdr:from>
    <xdr:ext cx="811107" cy="720515"/>
    <xdr:pic>
      <xdr:nvPicPr>
        <xdr:cNvPr id="41" name="33 Imagen">
          <a:extLst>
            <a:ext uri="{FF2B5EF4-FFF2-40B4-BE49-F238E27FC236}">
              <a16:creationId xmlns:a16="http://schemas.microsoft.com/office/drawing/2014/main" xmlns="" id="{00000000-0008-0000-1C00-00002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918472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445</xdr:row>
      <xdr:rowOff>152822</xdr:rowOff>
    </xdr:from>
    <xdr:ext cx="800101" cy="708237"/>
    <xdr:pic>
      <xdr:nvPicPr>
        <xdr:cNvPr id="42" name="34 Imagen">
          <a:extLst>
            <a:ext uri="{FF2B5EF4-FFF2-40B4-BE49-F238E27FC236}">
              <a16:creationId xmlns:a16="http://schemas.microsoft.com/office/drawing/2014/main" xmlns="" id="{00000000-0008-0000-1C00-00002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18671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445</xdr:row>
      <xdr:rowOff>63499</xdr:rowOff>
    </xdr:from>
    <xdr:to>
      <xdr:col>3</xdr:col>
      <xdr:colOff>74083</xdr:colOff>
      <xdr:row>448</xdr:row>
      <xdr:rowOff>0</xdr:rowOff>
    </xdr:to>
    <xdr:sp macro="" textlink="">
      <xdr:nvSpPr>
        <xdr:cNvPr id="43" name="Cuadro de texto 134">
          <a:extLst>
            <a:ext uri="{FF2B5EF4-FFF2-40B4-BE49-F238E27FC236}">
              <a16:creationId xmlns:a16="http://schemas.microsoft.com/office/drawing/2014/main" xmlns="" id="{00000000-0008-0000-1C00-00002B000000}"/>
            </a:ext>
          </a:extLst>
        </xdr:cNvPr>
        <xdr:cNvSpPr txBox="1">
          <a:spLocks noChangeArrowheads="1"/>
        </xdr:cNvSpPr>
      </xdr:nvSpPr>
      <xdr:spPr bwMode="auto">
        <a:xfrm>
          <a:off x="963083" y="917778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483</xdr:row>
      <xdr:rowOff>132925</xdr:rowOff>
    </xdr:from>
    <xdr:ext cx="811107" cy="720515"/>
    <xdr:pic>
      <xdr:nvPicPr>
        <xdr:cNvPr id="44" name="33 Imagen">
          <a:extLst>
            <a:ext uri="{FF2B5EF4-FFF2-40B4-BE49-F238E27FC236}">
              <a16:creationId xmlns:a16="http://schemas.microsoft.com/office/drawing/2014/main" xmlns="" id="{00000000-0008-0000-1C00-00002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9951296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483</xdr:row>
      <xdr:rowOff>152822</xdr:rowOff>
    </xdr:from>
    <xdr:ext cx="800101" cy="708237"/>
    <xdr:pic>
      <xdr:nvPicPr>
        <xdr:cNvPr id="45" name="34 Imagen">
          <a:extLst>
            <a:ext uri="{FF2B5EF4-FFF2-40B4-BE49-F238E27FC236}">
              <a16:creationId xmlns:a16="http://schemas.microsoft.com/office/drawing/2014/main" xmlns="" id="{00000000-0008-0000-1C00-00002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953286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483</xdr:row>
      <xdr:rowOff>63499</xdr:rowOff>
    </xdr:from>
    <xdr:to>
      <xdr:col>3</xdr:col>
      <xdr:colOff>74083</xdr:colOff>
      <xdr:row>486</xdr:row>
      <xdr:rowOff>0</xdr:rowOff>
    </xdr:to>
    <xdr:sp macro="" textlink="">
      <xdr:nvSpPr>
        <xdr:cNvPr id="46" name="Cuadro de texto 134">
          <a:extLst>
            <a:ext uri="{FF2B5EF4-FFF2-40B4-BE49-F238E27FC236}">
              <a16:creationId xmlns:a16="http://schemas.microsoft.com/office/drawing/2014/main" xmlns="" id="{00000000-0008-0000-1C00-00002E000000}"/>
            </a:ext>
          </a:extLst>
        </xdr:cNvPr>
        <xdr:cNvSpPr txBox="1">
          <a:spLocks noChangeArrowheads="1"/>
        </xdr:cNvSpPr>
      </xdr:nvSpPr>
      <xdr:spPr bwMode="auto">
        <a:xfrm>
          <a:off x="963083" y="9944353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515</xdr:row>
      <xdr:rowOff>132925</xdr:rowOff>
    </xdr:from>
    <xdr:ext cx="811107" cy="720515"/>
    <xdr:pic>
      <xdr:nvPicPr>
        <xdr:cNvPr id="47" name="33 Imagen">
          <a:extLst>
            <a:ext uri="{FF2B5EF4-FFF2-40B4-BE49-F238E27FC236}">
              <a16:creationId xmlns:a16="http://schemas.microsoft.com/office/drawing/2014/main" xmlns="" id="{00000000-0008-0000-1C00-00002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060814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515</xdr:row>
      <xdr:rowOff>152822</xdr:rowOff>
    </xdr:from>
    <xdr:ext cx="800101" cy="708237"/>
    <xdr:pic>
      <xdr:nvPicPr>
        <xdr:cNvPr id="48" name="34 Imagen">
          <a:extLst>
            <a:ext uri="{FF2B5EF4-FFF2-40B4-BE49-F238E27FC236}">
              <a16:creationId xmlns:a16="http://schemas.microsoft.com/office/drawing/2014/main" xmlns="" id="{00000000-0008-0000-1C00-000030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061013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515</xdr:row>
      <xdr:rowOff>63499</xdr:rowOff>
    </xdr:from>
    <xdr:to>
      <xdr:col>3</xdr:col>
      <xdr:colOff>74083</xdr:colOff>
      <xdr:row>518</xdr:row>
      <xdr:rowOff>0</xdr:rowOff>
    </xdr:to>
    <xdr:sp macro="" textlink="">
      <xdr:nvSpPr>
        <xdr:cNvPr id="49" name="Cuadro de texto 134">
          <a:extLst>
            <a:ext uri="{FF2B5EF4-FFF2-40B4-BE49-F238E27FC236}">
              <a16:creationId xmlns:a16="http://schemas.microsoft.com/office/drawing/2014/main" xmlns="" id="{00000000-0008-0000-1C00-000031000000}"/>
            </a:ext>
          </a:extLst>
        </xdr:cNvPr>
        <xdr:cNvSpPr txBox="1">
          <a:spLocks noChangeArrowheads="1"/>
        </xdr:cNvSpPr>
      </xdr:nvSpPr>
      <xdr:spPr bwMode="auto">
        <a:xfrm>
          <a:off x="963083" y="1060119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553</xdr:row>
      <xdr:rowOff>132925</xdr:rowOff>
    </xdr:from>
    <xdr:ext cx="811107" cy="720515"/>
    <xdr:pic>
      <xdr:nvPicPr>
        <xdr:cNvPr id="50" name="33 Imagen">
          <a:extLst>
            <a:ext uri="{FF2B5EF4-FFF2-40B4-BE49-F238E27FC236}">
              <a16:creationId xmlns:a16="http://schemas.microsoft.com/office/drawing/2014/main" xmlns="" id="{00000000-0008-0000-1C00-00003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137471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553</xdr:row>
      <xdr:rowOff>152822</xdr:rowOff>
    </xdr:from>
    <xdr:ext cx="800101" cy="708237"/>
    <xdr:pic>
      <xdr:nvPicPr>
        <xdr:cNvPr id="51" name="34 Imagen">
          <a:extLst>
            <a:ext uri="{FF2B5EF4-FFF2-40B4-BE49-F238E27FC236}">
              <a16:creationId xmlns:a16="http://schemas.microsoft.com/office/drawing/2014/main" xmlns="" id="{00000000-0008-0000-1C00-00003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137670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553</xdr:row>
      <xdr:rowOff>63499</xdr:rowOff>
    </xdr:from>
    <xdr:to>
      <xdr:col>3</xdr:col>
      <xdr:colOff>74083</xdr:colOff>
      <xdr:row>556</xdr:row>
      <xdr:rowOff>0</xdr:rowOff>
    </xdr:to>
    <xdr:sp macro="" textlink="">
      <xdr:nvSpPr>
        <xdr:cNvPr id="52" name="Cuadro de texto 134">
          <a:extLst>
            <a:ext uri="{FF2B5EF4-FFF2-40B4-BE49-F238E27FC236}">
              <a16:creationId xmlns:a16="http://schemas.microsoft.com/office/drawing/2014/main" xmlns="" id="{00000000-0008-0000-1C00-000034000000}"/>
            </a:ext>
          </a:extLst>
        </xdr:cNvPr>
        <xdr:cNvSpPr txBox="1">
          <a:spLocks noChangeArrowheads="1"/>
        </xdr:cNvSpPr>
      </xdr:nvSpPr>
      <xdr:spPr bwMode="auto">
        <a:xfrm>
          <a:off x="963083" y="11367769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585</xdr:row>
      <xdr:rowOff>132925</xdr:rowOff>
    </xdr:from>
    <xdr:ext cx="811107" cy="720515"/>
    <xdr:pic>
      <xdr:nvPicPr>
        <xdr:cNvPr id="53" name="33 Imagen">
          <a:extLst>
            <a:ext uri="{FF2B5EF4-FFF2-40B4-BE49-F238E27FC236}">
              <a16:creationId xmlns:a16="http://schemas.microsoft.com/office/drawing/2014/main" xmlns="" id="{00000000-0008-0000-1C00-00003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2031556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585</xdr:row>
      <xdr:rowOff>152822</xdr:rowOff>
    </xdr:from>
    <xdr:ext cx="800101" cy="708237"/>
    <xdr:pic>
      <xdr:nvPicPr>
        <xdr:cNvPr id="54" name="34 Imagen">
          <a:extLst>
            <a:ext uri="{FF2B5EF4-FFF2-40B4-BE49-F238E27FC236}">
              <a16:creationId xmlns:a16="http://schemas.microsoft.com/office/drawing/2014/main" xmlns="" id="{00000000-0008-0000-1C00-00003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033546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585</xdr:row>
      <xdr:rowOff>63499</xdr:rowOff>
    </xdr:from>
    <xdr:to>
      <xdr:col>3</xdr:col>
      <xdr:colOff>74083</xdr:colOff>
      <xdr:row>588</xdr:row>
      <xdr:rowOff>0</xdr:rowOff>
    </xdr:to>
    <xdr:sp macro="" textlink="">
      <xdr:nvSpPr>
        <xdr:cNvPr id="55" name="Cuadro de texto 134">
          <a:extLst>
            <a:ext uri="{FF2B5EF4-FFF2-40B4-BE49-F238E27FC236}">
              <a16:creationId xmlns:a16="http://schemas.microsoft.com/office/drawing/2014/main" xmlns="" id="{00000000-0008-0000-1C00-000037000000}"/>
            </a:ext>
          </a:extLst>
        </xdr:cNvPr>
        <xdr:cNvSpPr txBox="1">
          <a:spLocks noChangeArrowheads="1"/>
        </xdr:cNvSpPr>
      </xdr:nvSpPr>
      <xdr:spPr bwMode="auto">
        <a:xfrm>
          <a:off x="963083" y="12024613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2BC93273-855B-42CA-8AF3-A78871C813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11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27E9A159-9574-41B2-9B0A-8584F5C874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43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C998EC56-3CE7-43AD-987E-3267BEE03286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17455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82CD8FD6-6D8D-468B-9CAF-79F130586D8D}"/>
            </a:ext>
          </a:extLst>
        </xdr:cNvPr>
        <xdr:cNvSpPr txBox="1">
          <a:spLocks noChangeArrowheads="1"/>
        </xdr:cNvSpPr>
      </xdr:nvSpPr>
      <xdr:spPr bwMode="auto">
        <a:xfrm>
          <a:off x="2354580" y="9144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6" name="33 Imagen">
          <a:extLst>
            <a:ext uri="{FF2B5EF4-FFF2-40B4-BE49-F238E27FC236}">
              <a16:creationId xmlns:a16="http://schemas.microsoft.com/office/drawing/2014/main" xmlns="" id="{22C22DE2-9AB6-43B9-AA39-005CCF5469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7" name="34 Imagen">
          <a:extLst>
            <a:ext uri="{FF2B5EF4-FFF2-40B4-BE49-F238E27FC236}">
              <a16:creationId xmlns:a16="http://schemas.microsoft.com/office/drawing/2014/main" xmlns="" id="{BEB3AC55-EF3A-403C-99AC-8689B145A33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8" name="35 Imagen" descr="D:\José Luis Gavidia\Logo\logo.jpg">
          <a:extLst>
            <a:ext uri="{FF2B5EF4-FFF2-40B4-BE49-F238E27FC236}">
              <a16:creationId xmlns:a16="http://schemas.microsoft.com/office/drawing/2014/main" xmlns="" id="{7B2E3140-8533-492C-9193-F347C3959771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17455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804F3204-6163-48E1-93EB-B4C2813CE7F8}"/>
            </a:ext>
          </a:extLst>
        </xdr:cNvPr>
        <xdr:cNvSpPr txBox="1">
          <a:spLocks noChangeArrowheads="1"/>
        </xdr:cNvSpPr>
      </xdr:nvSpPr>
      <xdr:spPr bwMode="auto">
        <a:xfrm>
          <a:off x="2354580" y="610362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52</xdr:row>
      <xdr:rowOff>62447</xdr:rowOff>
    </xdr:from>
    <xdr:ext cx="653861" cy="748192"/>
    <xdr:pic>
      <xdr:nvPicPr>
        <xdr:cNvPr id="10" name="33 Imagen">
          <a:extLst>
            <a:ext uri="{FF2B5EF4-FFF2-40B4-BE49-F238E27FC236}">
              <a16:creationId xmlns:a16="http://schemas.microsoft.com/office/drawing/2014/main" xmlns="" id="{D2EFB8D7-1415-4C0C-9661-75D397E538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476904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52</xdr:row>
      <xdr:rowOff>23329</xdr:rowOff>
    </xdr:from>
    <xdr:ext cx="615761" cy="771096"/>
    <xdr:pic>
      <xdr:nvPicPr>
        <xdr:cNvPr id="11" name="34 Imagen">
          <a:extLst>
            <a:ext uri="{FF2B5EF4-FFF2-40B4-BE49-F238E27FC236}">
              <a16:creationId xmlns:a16="http://schemas.microsoft.com/office/drawing/2014/main" xmlns="" id="{50857082-ADC1-45AC-9501-6F9F348992B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1472992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52</xdr:row>
      <xdr:rowOff>14392</xdr:rowOff>
    </xdr:from>
    <xdr:ext cx="1742872" cy="812459"/>
    <xdr:pic>
      <xdr:nvPicPr>
        <xdr:cNvPr id="12" name="35 Imagen" descr="D:\José Luis Gavidia\Logo\logo.jpg">
          <a:extLst>
            <a:ext uri="{FF2B5EF4-FFF2-40B4-BE49-F238E27FC236}">
              <a16:creationId xmlns:a16="http://schemas.microsoft.com/office/drawing/2014/main" xmlns="" id="{AF6680B9-4062-4267-B94B-34A2F723FAA1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661363" y="1472099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52</xdr:row>
      <xdr:rowOff>91440</xdr:rowOff>
    </xdr:from>
    <xdr:to>
      <xdr:col>16</xdr:col>
      <xdr:colOff>723900</xdr:colOff>
      <xdr:row>56</xdr:row>
      <xdr:rowOff>137160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2A92F32A-DDF3-4B7F-A2FE-E67D3A482F3D}"/>
            </a:ext>
          </a:extLst>
        </xdr:cNvPr>
        <xdr:cNvSpPr txBox="1">
          <a:spLocks noChangeArrowheads="1"/>
        </xdr:cNvSpPr>
      </xdr:nvSpPr>
      <xdr:spPr bwMode="auto">
        <a:xfrm>
          <a:off x="2354580" y="14798040"/>
          <a:ext cx="1027176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1</xdr:col>
      <xdr:colOff>2756</xdr:colOff>
      <xdr:row>0</xdr:row>
      <xdr:rowOff>86764</xdr:rowOff>
    </xdr:from>
    <xdr:ext cx="759244" cy="821151"/>
    <xdr:pic>
      <xdr:nvPicPr>
        <xdr:cNvPr id="14" name="33 Imagen">
          <a:extLst>
            <a:ext uri="{FF2B5EF4-FFF2-40B4-BE49-F238E27FC236}">
              <a16:creationId xmlns:a16="http://schemas.microsoft.com/office/drawing/2014/main" xmlns="" id="{B3B38E4E-8F8A-4829-BEE8-08D61CC106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11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15" name="34 Imagen">
          <a:extLst>
            <a:ext uri="{FF2B5EF4-FFF2-40B4-BE49-F238E27FC236}">
              <a16:creationId xmlns:a16="http://schemas.microsoft.com/office/drawing/2014/main" xmlns="" id="{5E4A1FBE-A1D8-4461-BF54-62E39A73AB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43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16" name="35 Imagen" descr="D:\José Luis Gavidia\Logo\logo.jpg">
          <a:extLst>
            <a:ext uri="{FF2B5EF4-FFF2-40B4-BE49-F238E27FC236}">
              <a16:creationId xmlns:a16="http://schemas.microsoft.com/office/drawing/2014/main" xmlns="" id="{B77BF972-668B-4502-BB59-F381569E5967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17455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6B5441F9-A7EA-4219-AD71-FCC19A8ADFB4}"/>
            </a:ext>
          </a:extLst>
        </xdr:cNvPr>
        <xdr:cNvSpPr txBox="1">
          <a:spLocks noChangeArrowheads="1"/>
        </xdr:cNvSpPr>
      </xdr:nvSpPr>
      <xdr:spPr bwMode="auto">
        <a:xfrm>
          <a:off x="2354580" y="9144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18" name="33 Imagen">
          <a:extLst>
            <a:ext uri="{FF2B5EF4-FFF2-40B4-BE49-F238E27FC236}">
              <a16:creationId xmlns:a16="http://schemas.microsoft.com/office/drawing/2014/main" xmlns="" id="{5C937852-DCB3-4221-BC0B-32321FFC01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19" name="34 Imagen">
          <a:extLst>
            <a:ext uri="{FF2B5EF4-FFF2-40B4-BE49-F238E27FC236}">
              <a16:creationId xmlns:a16="http://schemas.microsoft.com/office/drawing/2014/main" xmlns="" id="{3871A460-7A43-41D7-A620-9034CE89BED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20" name="35 Imagen" descr="D:\José Luis Gavidia\Logo\logo.jpg">
          <a:extLst>
            <a:ext uri="{FF2B5EF4-FFF2-40B4-BE49-F238E27FC236}">
              <a16:creationId xmlns:a16="http://schemas.microsoft.com/office/drawing/2014/main" xmlns="" id="{75D60E7A-299B-4C65-A070-C040CCBB066D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17455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586AAC28-6C8A-4A1A-96D1-6B1CE3FFBB9F}"/>
            </a:ext>
          </a:extLst>
        </xdr:cNvPr>
        <xdr:cNvSpPr txBox="1">
          <a:spLocks noChangeArrowheads="1"/>
        </xdr:cNvSpPr>
      </xdr:nvSpPr>
      <xdr:spPr bwMode="auto">
        <a:xfrm>
          <a:off x="2354580" y="6103620"/>
          <a:ext cx="1027176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52</xdr:row>
      <xdr:rowOff>62447</xdr:rowOff>
    </xdr:from>
    <xdr:ext cx="653861" cy="748192"/>
    <xdr:pic>
      <xdr:nvPicPr>
        <xdr:cNvPr id="22" name="33 Imagen">
          <a:extLst>
            <a:ext uri="{FF2B5EF4-FFF2-40B4-BE49-F238E27FC236}">
              <a16:creationId xmlns:a16="http://schemas.microsoft.com/office/drawing/2014/main" xmlns="" id="{5B2024BA-11B3-47F1-A88D-71684CCAAB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476904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52</xdr:row>
      <xdr:rowOff>23329</xdr:rowOff>
    </xdr:from>
    <xdr:ext cx="615761" cy="771096"/>
    <xdr:pic>
      <xdr:nvPicPr>
        <xdr:cNvPr id="23" name="34 Imagen">
          <a:extLst>
            <a:ext uri="{FF2B5EF4-FFF2-40B4-BE49-F238E27FC236}">
              <a16:creationId xmlns:a16="http://schemas.microsoft.com/office/drawing/2014/main" xmlns="" id="{D64C7602-61D7-45F1-BC42-D6CABCEAC6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1472992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52</xdr:row>
      <xdr:rowOff>14392</xdr:rowOff>
    </xdr:from>
    <xdr:ext cx="1742872" cy="812459"/>
    <xdr:pic>
      <xdr:nvPicPr>
        <xdr:cNvPr id="24" name="35 Imagen" descr="D:\José Luis Gavidia\Logo\logo.jpg">
          <a:extLst>
            <a:ext uri="{FF2B5EF4-FFF2-40B4-BE49-F238E27FC236}">
              <a16:creationId xmlns:a16="http://schemas.microsoft.com/office/drawing/2014/main" xmlns="" id="{7AA8F43F-1CD0-43C4-8DDB-46551742D1BC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661363" y="1472099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52</xdr:row>
      <xdr:rowOff>91440</xdr:rowOff>
    </xdr:from>
    <xdr:to>
      <xdr:col>16</xdr:col>
      <xdr:colOff>723900</xdr:colOff>
      <xdr:row>56</xdr:row>
      <xdr:rowOff>137160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267F39B9-12FC-4B23-86D0-8A8C3B9472F5}"/>
            </a:ext>
          </a:extLst>
        </xdr:cNvPr>
        <xdr:cNvSpPr txBox="1">
          <a:spLocks noChangeArrowheads="1"/>
        </xdr:cNvSpPr>
      </xdr:nvSpPr>
      <xdr:spPr bwMode="auto">
        <a:xfrm>
          <a:off x="2354580" y="14798040"/>
          <a:ext cx="1027176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133773</xdr:colOff>
      <xdr:row>0</xdr:row>
      <xdr:rowOff>132925</xdr:rowOff>
    </xdr:from>
    <xdr:ext cx="811107" cy="720515"/>
    <xdr:pic>
      <xdr:nvPicPr>
        <xdr:cNvPr id="2" name="33 Imagen">
          <a:extLst>
            <a:ext uri="{FF2B5EF4-FFF2-40B4-BE49-F238E27FC236}">
              <a16:creationId xmlns:a16="http://schemas.microsoft.com/office/drawing/2014/main" xmlns="" id="{C1D0A2FF-643E-426E-BC30-9566F159A8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0</xdr:row>
      <xdr:rowOff>152822</xdr:rowOff>
    </xdr:from>
    <xdr:ext cx="800101" cy="708237"/>
    <xdr:pic>
      <xdr:nvPicPr>
        <xdr:cNvPr id="3" name="34 Imagen">
          <a:extLst>
            <a:ext uri="{FF2B5EF4-FFF2-40B4-BE49-F238E27FC236}">
              <a16:creationId xmlns:a16="http://schemas.microsoft.com/office/drawing/2014/main" xmlns="" id="{5703F046-F6EE-459A-BDB6-E99F5323BD4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0</xdr:row>
      <xdr:rowOff>63499</xdr:rowOff>
    </xdr:from>
    <xdr:to>
      <xdr:col>3</xdr:col>
      <xdr:colOff>74083</xdr:colOff>
      <xdr:row>3</xdr:row>
      <xdr:rowOff>0</xdr:rowOff>
    </xdr:to>
    <xdr:sp macro="" textlink="">
      <xdr:nvSpPr>
        <xdr:cNvPr id="4" name="Cuadro de texto 134">
          <a:extLst>
            <a:ext uri="{FF2B5EF4-FFF2-40B4-BE49-F238E27FC236}">
              <a16:creationId xmlns:a16="http://schemas.microsoft.com/office/drawing/2014/main" xmlns="" id="{9D4280F8-1C87-4A71-A451-F7E2A217B423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32</xdr:row>
      <xdr:rowOff>132925</xdr:rowOff>
    </xdr:from>
    <xdr:ext cx="811107" cy="720515"/>
    <xdr:pic>
      <xdr:nvPicPr>
        <xdr:cNvPr id="5" name="33 Imagen">
          <a:extLst>
            <a:ext uri="{FF2B5EF4-FFF2-40B4-BE49-F238E27FC236}">
              <a16:creationId xmlns:a16="http://schemas.microsoft.com/office/drawing/2014/main" xmlns="" id="{0707355D-15DD-4F5B-A002-0A2D9E537C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32</xdr:row>
      <xdr:rowOff>152822</xdr:rowOff>
    </xdr:from>
    <xdr:ext cx="800101" cy="708237"/>
    <xdr:pic>
      <xdr:nvPicPr>
        <xdr:cNvPr id="6" name="34 Imagen">
          <a:extLst>
            <a:ext uri="{FF2B5EF4-FFF2-40B4-BE49-F238E27FC236}">
              <a16:creationId xmlns:a16="http://schemas.microsoft.com/office/drawing/2014/main" xmlns="" id="{879CBCEA-B669-4955-89F0-18D6DDF97A6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32</xdr:row>
      <xdr:rowOff>63499</xdr:rowOff>
    </xdr:from>
    <xdr:to>
      <xdr:col>3</xdr:col>
      <xdr:colOff>74083</xdr:colOff>
      <xdr:row>35</xdr:row>
      <xdr:rowOff>0</xdr:rowOff>
    </xdr:to>
    <xdr:sp macro="" textlink="">
      <xdr:nvSpPr>
        <xdr:cNvPr id="7" name="Cuadro de texto 134">
          <a:extLst>
            <a:ext uri="{FF2B5EF4-FFF2-40B4-BE49-F238E27FC236}">
              <a16:creationId xmlns:a16="http://schemas.microsoft.com/office/drawing/2014/main" xmlns="" id="{14325EDD-5A0E-4D07-818D-72C08C772516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68</xdr:row>
      <xdr:rowOff>132925</xdr:rowOff>
    </xdr:from>
    <xdr:ext cx="811107" cy="720515"/>
    <xdr:pic>
      <xdr:nvPicPr>
        <xdr:cNvPr id="8" name="33 Imagen">
          <a:extLst>
            <a:ext uri="{FF2B5EF4-FFF2-40B4-BE49-F238E27FC236}">
              <a16:creationId xmlns:a16="http://schemas.microsoft.com/office/drawing/2014/main" xmlns="" id="{4DE3D6C1-AB88-43F0-8599-B1729B792B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42985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68</xdr:row>
      <xdr:rowOff>152822</xdr:rowOff>
    </xdr:from>
    <xdr:ext cx="800101" cy="708237"/>
    <xdr:pic>
      <xdr:nvPicPr>
        <xdr:cNvPr id="9" name="34 Imagen">
          <a:extLst>
            <a:ext uri="{FF2B5EF4-FFF2-40B4-BE49-F238E27FC236}">
              <a16:creationId xmlns:a16="http://schemas.microsoft.com/office/drawing/2014/main" xmlns="" id="{6CBBB186-F5D0-4F41-9192-54C788AF616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43184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68</xdr:row>
      <xdr:rowOff>63499</xdr:rowOff>
    </xdr:from>
    <xdr:to>
      <xdr:col>3</xdr:col>
      <xdr:colOff>74083</xdr:colOff>
      <xdr:row>71</xdr:row>
      <xdr:rowOff>0</xdr:rowOff>
    </xdr:to>
    <xdr:sp macro="" textlink="">
      <xdr:nvSpPr>
        <xdr:cNvPr id="10" name="Cuadro de texto 134">
          <a:extLst>
            <a:ext uri="{FF2B5EF4-FFF2-40B4-BE49-F238E27FC236}">
              <a16:creationId xmlns:a16="http://schemas.microsoft.com/office/drawing/2014/main" xmlns="" id="{D01C7DB5-3527-4198-96AD-EB293D12B2D8}"/>
            </a:ext>
          </a:extLst>
        </xdr:cNvPr>
        <xdr:cNvSpPr txBox="1">
          <a:spLocks noChangeArrowheads="1"/>
        </xdr:cNvSpPr>
      </xdr:nvSpPr>
      <xdr:spPr bwMode="auto">
        <a:xfrm>
          <a:off x="963083" y="14229079"/>
          <a:ext cx="4635500" cy="9347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100</xdr:row>
      <xdr:rowOff>132925</xdr:rowOff>
    </xdr:from>
    <xdr:ext cx="811107" cy="720515"/>
    <xdr:pic>
      <xdr:nvPicPr>
        <xdr:cNvPr id="11" name="33 Imagen">
          <a:extLst>
            <a:ext uri="{FF2B5EF4-FFF2-40B4-BE49-F238E27FC236}">
              <a16:creationId xmlns:a16="http://schemas.microsoft.com/office/drawing/2014/main" xmlns="" id="{CD4F3294-9D05-4162-B6CA-A25A3ADFED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213089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100</xdr:row>
      <xdr:rowOff>152822</xdr:rowOff>
    </xdr:from>
    <xdr:ext cx="800101" cy="708237"/>
    <xdr:pic>
      <xdr:nvPicPr>
        <xdr:cNvPr id="12" name="34 Imagen">
          <a:extLst>
            <a:ext uri="{FF2B5EF4-FFF2-40B4-BE49-F238E27FC236}">
              <a16:creationId xmlns:a16="http://schemas.microsoft.com/office/drawing/2014/main" xmlns="" id="{0D8017EB-BB0C-4063-8228-CEB374167D4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213288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100</xdr:row>
      <xdr:rowOff>63499</xdr:rowOff>
    </xdr:from>
    <xdr:to>
      <xdr:col>3</xdr:col>
      <xdr:colOff>74083</xdr:colOff>
      <xdr:row>103</xdr:row>
      <xdr:rowOff>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2CB215E8-10A2-473C-91D3-B53D918569E0}"/>
            </a:ext>
          </a:extLst>
        </xdr:cNvPr>
        <xdr:cNvSpPr txBox="1">
          <a:spLocks noChangeArrowheads="1"/>
        </xdr:cNvSpPr>
      </xdr:nvSpPr>
      <xdr:spPr bwMode="auto">
        <a:xfrm>
          <a:off x="963083" y="21239479"/>
          <a:ext cx="4635500" cy="8966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88053</xdr:colOff>
      <xdr:row>133</xdr:row>
      <xdr:rowOff>110065</xdr:rowOff>
    </xdr:from>
    <xdr:ext cx="811107" cy="720515"/>
    <xdr:pic>
      <xdr:nvPicPr>
        <xdr:cNvPr id="14" name="33 Imagen">
          <a:extLst>
            <a:ext uri="{FF2B5EF4-FFF2-40B4-BE49-F238E27FC236}">
              <a16:creationId xmlns:a16="http://schemas.microsoft.com/office/drawing/2014/main" xmlns="" id="{9EEFCEF8-3F59-4EAD-ABE7-628CC9BBDA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" y="284412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3</xdr:col>
      <xdr:colOff>403860</xdr:colOff>
      <xdr:row>133</xdr:row>
      <xdr:rowOff>76622</xdr:rowOff>
    </xdr:from>
    <xdr:ext cx="800101" cy="708237"/>
    <xdr:pic>
      <xdr:nvPicPr>
        <xdr:cNvPr id="15" name="34 Imagen">
          <a:extLst>
            <a:ext uri="{FF2B5EF4-FFF2-40B4-BE49-F238E27FC236}">
              <a16:creationId xmlns:a16="http://schemas.microsoft.com/office/drawing/2014/main" xmlns="" id="{19765B44-C41E-4319-9A21-70E4E8AF6B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8360" y="284077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963082</xdr:colOff>
      <xdr:row>133</xdr:row>
      <xdr:rowOff>63499</xdr:rowOff>
    </xdr:from>
    <xdr:to>
      <xdr:col>3</xdr:col>
      <xdr:colOff>731519</xdr:colOff>
      <xdr:row>136</xdr:row>
      <xdr:rowOff>0</xdr:rowOff>
    </xdr:to>
    <xdr:sp macro="" textlink="">
      <xdr:nvSpPr>
        <xdr:cNvPr id="16" name="Cuadro de texto 134">
          <a:extLst>
            <a:ext uri="{FF2B5EF4-FFF2-40B4-BE49-F238E27FC236}">
              <a16:creationId xmlns:a16="http://schemas.microsoft.com/office/drawing/2014/main" xmlns="" id="{1A04D3F6-948A-430A-A38F-B8F2706F4722}"/>
            </a:ext>
          </a:extLst>
        </xdr:cNvPr>
        <xdr:cNvSpPr txBox="1">
          <a:spLocks noChangeArrowheads="1"/>
        </xdr:cNvSpPr>
      </xdr:nvSpPr>
      <xdr:spPr bwMode="auto">
        <a:xfrm>
          <a:off x="963082" y="28394659"/>
          <a:ext cx="5292937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165</xdr:row>
      <xdr:rowOff>132925</xdr:rowOff>
    </xdr:from>
    <xdr:ext cx="811107" cy="720515"/>
    <xdr:pic>
      <xdr:nvPicPr>
        <xdr:cNvPr id="17" name="33 Imagen">
          <a:extLst>
            <a:ext uri="{FF2B5EF4-FFF2-40B4-BE49-F238E27FC236}">
              <a16:creationId xmlns:a16="http://schemas.microsoft.com/office/drawing/2014/main" xmlns="" id="{F662E939-0DCA-4B97-83E0-BAE15227B8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350325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165</xdr:row>
      <xdr:rowOff>152822</xdr:rowOff>
    </xdr:from>
    <xdr:ext cx="800101" cy="708237"/>
    <xdr:pic>
      <xdr:nvPicPr>
        <xdr:cNvPr id="18" name="34 Imagen">
          <a:extLst>
            <a:ext uri="{FF2B5EF4-FFF2-40B4-BE49-F238E27FC236}">
              <a16:creationId xmlns:a16="http://schemas.microsoft.com/office/drawing/2014/main" xmlns="" id="{1D459759-6162-47FC-9D32-DDDDE7244D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50524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165</xdr:row>
      <xdr:rowOff>63499</xdr:rowOff>
    </xdr:from>
    <xdr:to>
      <xdr:col>3</xdr:col>
      <xdr:colOff>74083</xdr:colOff>
      <xdr:row>168</xdr:row>
      <xdr:rowOff>0</xdr:rowOff>
    </xdr:to>
    <xdr:sp macro="" textlink="">
      <xdr:nvSpPr>
        <xdr:cNvPr id="19" name="Cuadro de texto 134">
          <a:extLst>
            <a:ext uri="{FF2B5EF4-FFF2-40B4-BE49-F238E27FC236}">
              <a16:creationId xmlns:a16="http://schemas.microsoft.com/office/drawing/2014/main" xmlns="" id="{E8A9547D-524A-4F2C-98D9-70ADA888B470}"/>
            </a:ext>
          </a:extLst>
        </xdr:cNvPr>
        <xdr:cNvSpPr txBox="1">
          <a:spLocks noChangeArrowheads="1"/>
        </xdr:cNvSpPr>
      </xdr:nvSpPr>
      <xdr:spPr bwMode="auto">
        <a:xfrm>
          <a:off x="963083" y="3496309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203</xdr:row>
      <xdr:rowOff>132925</xdr:rowOff>
    </xdr:from>
    <xdr:ext cx="811107" cy="720515"/>
    <xdr:pic>
      <xdr:nvPicPr>
        <xdr:cNvPr id="20" name="33 Imagen">
          <a:extLst>
            <a:ext uri="{FF2B5EF4-FFF2-40B4-BE49-F238E27FC236}">
              <a16:creationId xmlns:a16="http://schemas.microsoft.com/office/drawing/2014/main" xmlns="" id="{41AA4691-CDC6-4854-A8AF-C2714FD3F2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426982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203</xdr:row>
      <xdr:rowOff>152822</xdr:rowOff>
    </xdr:from>
    <xdr:ext cx="800101" cy="708237"/>
    <xdr:pic>
      <xdr:nvPicPr>
        <xdr:cNvPr id="21" name="34 Imagen">
          <a:extLst>
            <a:ext uri="{FF2B5EF4-FFF2-40B4-BE49-F238E27FC236}">
              <a16:creationId xmlns:a16="http://schemas.microsoft.com/office/drawing/2014/main" xmlns="" id="{C63E7F87-5C36-44A7-B941-470F9B8EE8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27181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203</xdr:row>
      <xdr:rowOff>63499</xdr:rowOff>
    </xdr:from>
    <xdr:to>
      <xdr:col>3</xdr:col>
      <xdr:colOff>74083</xdr:colOff>
      <xdr:row>206</xdr:row>
      <xdr:rowOff>0</xdr:rowOff>
    </xdr:to>
    <xdr:sp macro="" textlink="">
      <xdr:nvSpPr>
        <xdr:cNvPr id="22" name="Cuadro de texto 134">
          <a:extLst>
            <a:ext uri="{FF2B5EF4-FFF2-40B4-BE49-F238E27FC236}">
              <a16:creationId xmlns:a16="http://schemas.microsoft.com/office/drawing/2014/main" xmlns="" id="{4E0B10F2-C5B7-4836-BEBC-2D34B9612595}"/>
            </a:ext>
          </a:extLst>
        </xdr:cNvPr>
        <xdr:cNvSpPr txBox="1">
          <a:spLocks noChangeArrowheads="1"/>
        </xdr:cNvSpPr>
      </xdr:nvSpPr>
      <xdr:spPr bwMode="auto">
        <a:xfrm>
          <a:off x="963083" y="426288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235</xdr:row>
      <xdr:rowOff>132925</xdr:rowOff>
    </xdr:from>
    <xdr:ext cx="811107" cy="720515"/>
    <xdr:pic>
      <xdr:nvPicPr>
        <xdr:cNvPr id="23" name="33 Imagen">
          <a:extLst>
            <a:ext uri="{FF2B5EF4-FFF2-40B4-BE49-F238E27FC236}">
              <a16:creationId xmlns:a16="http://schemas.microsoft.com/office/drawing/2014/main" xmlns="" id="{E80F1178-E746-43A8-8A99-47B3DECCAF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4926668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235</xdr:row>
      <xdr:rowOff>152822</xdr:rowOff>
    </xdr:from>
    <xdr:ext cx="800101" cy="708237"/>
    <xdr:pic>
      <xdr:nvPicPr>
        <xdr:cNvPr id="24" name="34 Imagen">
          <a:extLst>
            <a:ext uri="{FF2B5EF4-FFF2-40B4-BE49-F238E27FC236}">
              <a16:creationId xmlns:a16="http://schemas.microsoft.com/office/drawing/2014/main" xmlns="" id="{85B2BC48-9903-4811-B55B-49BD5F6668C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92865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235</xdr:row>
      <xdr:rowOff>63499</xdr:rowOff>
    </xdr:from>
    <xdr:to>
      <xdr:col>3</xdr:col>
      <xdr:colOff>74083</xdr:colOff>
      <xdr:row>238</xdr:row>
      <xdr:rowOff>0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B361C80A-FC9A-483F-9A0C-99949F0EC81B}"/>
            </a:ext>
          </a:extLst>
        </xdr:cNvPr>
        <xdr:cNvSpPr txBox="1">
          <a:spLocks noChangeArrowheads="1"/>
        </xdr:cNvSpPr>
      </xdr:nvSpPr>
      <xdr:spPr bwMode="auto">
        <a:xfrm>
          <a:off x="963083" y="4919725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273</xdr:row>
      <xdr:rowOff>132925</xdr:rowOff>
    </xdr:from>
    <xdr:ext cx="811107" cy="720515"/>
    <xdr:pic>
      <xdr:nvPicPr>
        <xdr:cNvPr id="26" name="33 Imagen">
          <a:extLst>
            <a:ext uri="{FF2B5EF4-FFF2-40B4-BE49-F238E27FC236}">
              <a16:creationId xmlns:a16="http://schemas.microsoft.com/office/drawing/2014/main" xmlns="" id="{45331066-608E-439E-8215-35CD4C4E7E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569324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273</xdr:row>
      <xdr:rowOff>152822</xdr:rowOff>
    </xdr:from>
    <xdr:ext cx="800101" cy="708237"/>
    <xdr:pic>
      <xdr:nvPicPr>
        <xdr:cNvPr id="27" name="34 Imagen">
          <a:extLst>
            <a:ext uri="{FF2B5EF4-FFF2-40B4-BE49-F238E27FC236}">
              <a16:creationId xmlns:a16="http://schemas.microsoft.com/office/drawing/2014/main" xmlns="" id="{8C718F29-C2E4-4C3A-BB67-32CCFC2BA7A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569523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273</xdr:row>
      <xdr:rowOff>63499</xdr:rowOff>
    </xdr:from>
    <xdr:to>
      <xdr:col>3</xdr:col>
      <xdr:colOff>74083</xdr:colOff>
      <xdr:row>276</xdr:row>
      <xdr:rowOff>0</xdr:rowOff>
    </xdr:to>
    <xdr:sp macro="" textlink="">
      <xdr:nvSpPr>
        <xdr:cNvPr id="28" name="Cuadro de texto 134">
          <a:extLst>
            <a:ext uri="{FF2B5EF4-FFF2-40B4-BE49-F238E27FC236}">
              <a16:creationId xmlns:a16="http://schemas.microsoft.com/office/drawing/2014/main" xmlns="" id="{1D37986E-8347-435E-A194-0C9015A1A119}"/>
            </a:ext>
          </a:extLst>
        </xdr:cNvPr>
        <xdr:cNvSpPr txBox="1">
          <a:spLocks noChangeArrowheads="1"/>
        </xdr:cNvSpPr>
      </xdr:nvSpPr>
      <xdr:spPr bwMode="auto">
        <a:xfrm>
          <a:off x="963083" y="568629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305</xdr:row>
      <xdr:rowOff>132925</xdr:rowOff>
    </xdr:from>
    <xdr:ext cx="811107" cy="720515"/>
    <xdr:pic>
      <xdr:nvPicPr>
        <xdr:cNvPr id="29" name="33 Imagen">
          <a:extLst>
            <a:ext uri="{FF2B5EF4-FFF2-40B4-BE49-F238E27FC236}">
              <a16:creationId xmlns:a16="http://schemas.microsoft.com/office/drawing/2014/main" xmlns="" id="{C640B242-79E1-4DC4-B141-B69AD952C6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35008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305</xdr:row>
      <xdr:rowOff>152822</xdr:rowOff>
    </xdr:from>
    <xdr:ext cx="800101" cy="708237"/>
    <xdr:pic>
      <xdr:nvPicPr>
        <xdr:cNvPr id="30" name="34 Imagen">
          <a:extLst>
            <a:ext uri="{FF2B5EF4-FFF2-40B4-BE49-F238E27FC236}">
              <a16:creationId xmlns:a16="http://schemas.microsoft.com/office/drawing/2014/main" xmlns="" id="{8A2024AF-29D7-4A36-A7A8-46D0B0860F4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35207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305</xdr:row>
      <xdr:rowOff>63499</xdr:rowOff>
    </xdr:from>
    <xdr:to>
      <xdr:col>3</xdr:col>
      <xdr:colOff>74083</xdr:colOff>
      <xdr:row>308</xdr:row>
      <xdr:rowOff>0</xdr:rowOff>
    </xdr:to>
    <xdr:sp macro="" textlink="">
      <xdr:nvSpPr>
        <xdr:cNvPr id="31" name="Cuadro de texto 134">
          <a:extLst>
            <a:ext uri="{FF2B5EF4-FFF2-40B4-BE49-F238E27FC236}">
              <a16:creationId xmlns:a16="http://schemas.microsoft.com/office/drawing/2014/main" xmlns="" id="{1F5CDDC0-85AF-421A-A8A3-41404CAB1885}"/>
            </a:ext>
          </a:extLst>
        </xdr:cNvPr>
        <xdr:cNvSpPr txBox="1">
          <a:spLocks noChangeArrowheads="1"/>
        </xdr:cNvSpPr>
      </xdr:nvSpPr>
      <xdr:spPr bwMode="auto">
        <a:xfrm>
          <a:off x="963083" y="634314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343</xdr:row>
      <xdr:rowOff>132925</xdr:rowOff>
    </xdr:from>
    <xdr:ext cx="811107" cy="720515"/>
    <xdr:pic>
      <xdr:nvPicPr>
        <xdr:cNvPr id="32" name="33 Imagen">
          <a:extLst>
            <a:ext uri="{FF2B5EF4-FFF2-40B4-BE49-F238E27FC236}">
              <a16:creationId xmlns:a16="http://schemas.microsoft.com/office/drawing/2014/main" xmlns="" id="{D802C473-90F5-4D56-8818-C5C2EA61F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710446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343</xdr:row>
      <xdr:rowOff>152822</xdr:rowOff>
    </xdr:from>
    <xdr:ext cx="800101" cy="708237"/>
    <xdr:pic>
      <xdr:nvPicPr>
        <xdr:cNvPr id="33" name="34 Imagen">
          <a:extLst>
            <a:ext uri="{FF2B5EF4-FFF2-40B4-BE49-F238E27FC236}">
              <a16:creationId xmlns:a16="http://schemas.microsoft.com/office/drawing/2014/main" xmlns="" id="{D36FC7D0-7230-40AB-8BEC-AE8A6C86BAD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710645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343</xdr:row>
      <xdr:rowOff>63499</xdr:rowOff>
    </xdr:from>
    <xdr:to>
      <xdr:col>3</xdr:col>
      <xdr:colOff>74083</xdr:colOff>
      <xdr:row>346</xdr:row>
      <xdr:rowOff>0</xdr:rowOff>
    </xdr:to>
    <xdr:sp macro="" textlink="">
      <xdr:nvSpPr>
        <xdr:cNvPr id="34" name="Cuadro de texto 134">
          <a:extLst>
            <a:ext uri="{FF2B5EF4-FFF2-40B4-BE49-F238E27FC236}">
              <a16:creationId xmlns:a16="http://schemas.microsoft.com/office/drawing/2014/main" xmlns="" id="{C07B3338-89A5-46B2-8576-2CB7B46F5136}"/>
            </a:ext>
          </a:extLst>
        </xdr:cNvPr>
        <xdr:cNvSpPr txBox="1">
          <a:spLocks noChangeArrowheads="1"/>
        </xdr:cNvSpPr>
      </xdr:nvSpPr>
      <xdr:spPr bwMode="auto">
        <a:xfrm>
          <a:off x="963083" y="709752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375</xdr:row>
      <xdr:rowOff>132925</xdr:rowOff>
    </xdr:from>
    <xdr:ext cx="811107" cy="720515"/>
    <xdr:pic>
      <xdr:nvPicPr>
        <xdr:cNvPr id="35" name="33 Imagen">
          <a:extLst>
            <a:ext uri="{FF2B5EF4-FFF2-40B4-BE49-F238E27FC236}">
              <a16:creationId xmlns:a16="http://schemas.microsoft.com/office/drawing/2014/main" xmlns="" id="{D3F3FA7E-1D0E-4A20-AF0E-AB678EA041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7761308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375</xdr:row>
      <xdr:rowOff>152822</xdr:rowOff>
    </xdr:from>
    <xdr:ext cx="800101" cy="708237"/>
    <xdr:pic>
      <xdr:nvPicPr>
        <xdr:cNvPr id="36" name="34 Imagen">
          <a:extLst>
            <a:ext uri="{FF2B5EF4-FFF2-40B4-BE49-F238E27FC236}">
              <a16:creationId xmlns:a16="http://schemas.microsoft.com/office/drawing/2014/main" xmlns="" id="{E0812025-CB99-4F09-981D-ECA233646D9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776329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375</xdr:row>
      <xdr:rowOff>63499</xdr:rowOff>
    </xdr:from>
    <xdr:to>
      <xdr:col>3</xdr:col>
      <xdr:colOff>74083</xdr:colOff>
      <xdr:row>378</xdr:row>
      <xdr:rowOff>0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6C5C967E-BC20-46E6-B3BB-B7835F2BAB8C}"/>
            </a:ext>
          </a:extLst>
        </xdr:cNvPr>
        <xdr:cNvSpPr txBox="1">
          <a:spLocks noChangeArrowheads="1"/>
        </xdr:cNvSpPr>
      </xdr:nvSpPr>
      <xdr:spPr bwMode="auto">
        <a:xfrm>
          <a:off x="963083" y="7754365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413</xdr:row>
      <xdr:rowOff>132925</xdr:rowOff>
    </xdr:from>
    <xdr:ext cx="811107" cy="720515"/>
    <xdr:pic>
      <xdr:nvPicPr>
        <xdr:cNvPr id="38" name="33 Imagen">
          <a:extLst>
            <a:ext uri="{FF2B5EF4-FFF2-40B4-BE49-F238E27FC236}">
              <a16:creationId xmlns:a16="http://schemas.microsoft.com/office/drawing/2014/main" xmlns="" id="{47DD6135-831D-40DD-BFE0-38E1AE3C53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852788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413</xdr:row>
      <xdr:rowOff>152822</xdr:rowOff>
    </xdr:from>
    <xdr:ext cx="800101" cy="708237"/>
    <xdr:pic>
      <xdr:nvPicPr>
        <xdr:cNvPr id="39" name="34 Imagen">
          <a:extLst>
            <a:ext uri="{FF2B5EF4-FFF2-40B4-BE49-F238E27FC236}">
              <a16:creationId xmlns:a16="http://schemas.microsoft.com/office/drawing/2014/main" xmlns="" id="{84918445-56F8-407E-923B-11600361B6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852987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413</xdr:row>
      <xdr:rowOff>63499</xdr:rowOff>
    </xdr:from>
    <xdr:to>
      <xdr:col>3</xdr:col>
      <xdr:colOff>74083</xdr:colOff>
      <xdr:row>416</xdr:row>
      <xdr:rowOff>0</xdr:rowOff>
    </xdr:to>
    <xdr:sp macro="" textlink="">
      <xdr:nvSpPr>
        <xdr:cNvPr id="40" name="Cuadro de texto 134">
          <a:extLst>
            <a:ext uri="{FF2B5EF4-FFF2-40B4-BE49-F238E27FC236}">
              <a16:creationId xmlns:a16="http://schemas.microsoft.com/office/drawing/2014/main" xmlns="" id="{01662AE0-EAC9-4BC1-AFFE-F2F094101F4E}"/>
            </a:ext>
          </a:extLst>
        </xdr:cNvPr>
        <xdr:cNvSpPr txBox="1">
          <a:spLocks noChangeArrowheads="1"/>
        </xdr:cNvSpPr>
      </xdr:nvSpPr>
      <xdr:spPr bwMode="auto">
        <a:xfrm>
          <a:off x="963083" y="852093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445</xdr:row>
      <xdr:rowOff>132925</xdr:rowOff>
    </xdr:from>
    <xdr:ext cx="811107" cy="720515"/>
    <xdr:pic>
      <xdr:nvPicPr>
        <xdr:cNvPr id="41" name="33 Imagen">
          <a:extLst>
            <a:ext uri="{FF2B5EF4-FFF2-40B4-BE49-F238E27FC236}">
              <a16:creationId xmlns:a16="http://schemas.microsoft.com/office/drawing/2014/main" xmlns="" id="{D74C69BD-B891-4F02-86B6-8D620DFD00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918472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445</xdr:row>
      <xdr:rowOff>152822</xdr:rowOff>
    </xdr:from>
    <xdr:ext cx="800101" cy="708237"/>
    <xdr:pic>
      <xdr:nvPicPr>
        <xdr:cNvPr id="42" name="34 Imagen">
          <a:extLst>
            <a:ext uri="{FF2B5EF4-FFF2-40B4-BE49-F238E27FC236}">
              <a16:creationId xmlns:a16="http://schemas.microsoft.com/office/drawing/2014/main" xmlns="" id="{370A89DB-B757-4A68-8860-2672CEF8D58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18671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445</xdr:row>
      <xdr:rowOff>63499</xdr:rowOff>
    </xdr:from>
    <xdr:to>
      <xdr:col>3</xdr:col>
      <xdr:colOff>74083</xdr:colOff>
      <xdr:row>448</xdr:row>
      <xdr:rowOff>0</xdr:rowOff>
    </xdr:to>
    <xdr:sp macro="" textlink="">
      <xdr:nvSpPr>
        <xdr:cNvPr id="43" name="Cuadro de texto 134">
          <a:extLst>
            <a:ext uri="{FF2B5EF4-FFF2-40B4-BE49-F238E27FC236}">
              <a16:creationId xmlns:a16="http://schemas.microsoft.com/office/drawing/2014/main" xmlns="" id="{C721F4C0-4910-4C27-9A4A-DD657774D8E9}"/>
            </a:ext>
          </a:extLst>
        </xdr:cNvPr>
        <xdr:cNvSpPr txBox="1">
          <a:spLocks noChangeArrowheads="1"/>
        </xdr:cNvSpPr>
      </xdr:nvSpPr>
      <xdr:spPr bwMode="auto">
        <a:xfrm>
          <a:off x="963083" y="917778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483</xdr:row>
      <xdr:rowOff>132925</xdr:rowOff>
    </xdr:from>
    <xdr:ext cx="811107" cy="720515"/>
    <xdr:pic>
      <xdr:nvPicPr>
        <xdr:cNvPr id="44" name="33 Imagen">
          <a:extLst>
            <a:ext uri="{FF2B5EF4-FFF2-40B4-BE49-F238E27FC236}">
              <a16:creationId xmlns:a16="http://schemas.microsoft.com/office/drawing/2014/main" xmlns="" id="{49BA85A2-4EDD-4D21-B7CF-E72A7DF2E3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9951296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483</xdr:row>
      <xdr:rowOff>152822</xdr:rowOff>
    </xdr:from>
    <xdr:ext cx="800101" cy="708237"/>
    <xdr:pic>
      <xdr:nvPicPr>
        <xdr:cNvPr id="45" name="34 Imagen">
          <a:extLst>
            <a:ext uri="{FF2B5EF4-FFF2-40B4-BE49-F238E27FC236}">
              <a16:creationId xmlns:a16="http://schemas.microsoft.com/office/drawing/2014/main" xmlns="" id="{ABC62F3A-E0DB-48E2-9F97-80239CE4F5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953286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483</xdr:row>
      <xdr:rowOff>63499</xdr:rowOff>
    </xdr:from>
    <xdr:to>
      <xdr:col>3</xdr:col>
      <xdr:colOff>74083</xdr:colOff>
      <xdr:row>486</xdr:row>
      <xdr:rowOff>0</xdr:rowOff>
    </xdr:to>
    <xdr:sp macro="" textlink="">
      <xdr:nvSpPr>
        <xdr:cNvPr id="46" name="Cuadro de texto 134">
          <a:extLst>
            <a:ext uri="{FF2B5EF4-FFF2-40B4-BE49-F238E27FC236}">
              <a16:creationId xmlns:a16="http://schemas.microsoft.com/office/drawing/2014/main" xmlns="" id="{3652C715-63FD-4DBA-B970-4154222B13A8}"/>
            </a:ext>
          </a:extLst>
        </xdr:cNvPr>
        <xdr:cNvSpPr txBox="1">
          <a:spLocks noChangeArrowheads="1"/>
        </xdr:cNvSpPr>
      </xdr:nvSpPr>
      <xdr:spPr bwMode="auto">
        <a:xfrm>
          <a:off x="963083" y="9944353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515</xdr:row>
      <xdr:rowOff>132925</xdr:rowOff>
    </xdr:from>
    <xdr:ext cx="811107" cy="720515"/>
    <xdr:pic>
      <xdr:nvPicPr>
        <xdr:cNvPr id="47" name="33 Imagen">
          <a:extLst>
            <a:ext uri="{FF2B5EF4-FFF2-40B4-BE49-F238E27FC236}">
              <a16:creationId xmlns:a16="http://schemas.microsoft.com/office/drawing/2014/main" xmlns="" id="{FD079BFF-5F56-429F-87E3-CCBEBECB8F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060814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515</xdr:row>
      <xdr:rowOff>152822</xdr:rowOff>
    </xdr:from>
    <xdr:ext cx="800101" cy="708237"/>
    <xdr:pic>
      <xdr:nvPicPr>
        <xdr:cNvPr id="48" name="34 Imagen">
          <a:extLst>
            <a:ext uri="{FF2B5EF4-FFF2-40B4-BE49-F238E27FC236}">
              <a16:creationId xmlns:a16="http://schemas.microsoft.com/office/drawing/2014/main" xmlns="" id="{5F3BF7FD-0916-48B7-9915-88934E5C412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061013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515</xdr:row>
      <xdr:rowOff>63499</xdr:rowOff>
    </xdr:from>
    <xdr:to>
      <xdr:col>3</xdr:col>
      <xdr:colOff>74083</xdr:colOff>
      <xdr:row>518</xdr:row>
      <xdr:rowOff>0</xdr:rowOff>
    </xdr:to>
    <xdr:sp macro="" textlink="">
      <xdr:nvSpPr>
        <xdr:cNvPr id="49" name="Cuadro de texto 134">
          <a:extLst>
            <a:ext uri="{FF2B5EF4-FFF2-40B4-BE49-F238E27FC236}">
              <a16:creationId xmlns:a16="http://schemas.microsoft.com/office/drawing/2014/main" xmlns="" id="{7D25B740-0DC1-4369-9544-C461F39EB425}"/>
            </a:ext>
          </a:extLst>
        </xdr:cNvPr>
        <xdr:cNvSpPr txBox="1">
          <a:spLocks noChangeArrowheads="1"/>
        </xdr:cNvSpPr>
      </xdr:nvSpPr>
      <xdr:spPr bwMode="auto">
        <a:xfrm>
          <a:off x="963083" y="1060119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553</xdr:row>
      <xdr:rowOff>132925</xdr:rowOff>
    </xdr:from>
    <xdr:ext cx="811107" cy="720515"/>
    <xdr:pic>
      <xdr:nvPicPr>
        <xdr:cNvPr id="50" name="33 Imagen">
          <a:extLst>
            <a:ext uri="{FF2B5EF4-FFF2-40B4-BE49-F238E27FC236}">
              <a16:creationId xmlns:a16="http://schemas.microsoft.com/office/drawing/2014/main" xmlns="" id="{D0E64BB5-551D-4594-B63D-632B5F56FB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137471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553</xdr:row>
      <xdr:rowOff>152822</xdr:rowOff>
    </xdr:from>
    <xdr:ext cx="800101" cy="708237"/>
    <xdr:pic>
      <xdr:nvPicPr>
        <xdr:cNvPr id="51" name="34 Imagen">
          <a:extLst>
            <a:ext uri="{FF2B5EF4-FFF2-40B4-BE49-F238E27FC236}">
              <a16:creationId xmlns:a16="http://schemas.microsoft.com/office/drawing/2014/main" xmlns="" id="{3E36A0CB-E852-4136-8812-F84782D6EC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137670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553</xdr:row>
      <xdr:rowOff>63499</xdr:rowOff>
    </xdr:from>
    <xdr:to>
      <xdr:col>3</xdr:col>
      <xdr:colOff>74083</xdr:colOff>
      <xdr:row>556</xdr:row>
      <xdr:rowOff>0</xdr:rowOff>
    </xdr:to>
    <xdr:sp macro="" textlink="">
      <xdr:nvSpPr>
        <xdr:cNvPr id="52" name="Cuadro de texto 134">
          <a:extLst>
            <a:ext uri="{FF2B5EF4-FFF2-40B4-BE49-F238E27FC236}">
              <a16:creationId xmlns:a16="http://schemas.microsoft.com/office/drawing/2014/main" xmlns="" id="{A6B76480-0ED3-4E83-942C-70DC7B5AA62C}"/>
            </a:ext>
          </a:extLst>
        </xdr:cNvPr>
        <xdr:cNvSpPr txBox="1">
          <a:spLocks noChangeArrowheads="1"/>
        </xdr:cNvSpPr>
      </xdr:nvSpPr>
      <xdr:spPr bwMode="auto">
        <a:xfrm>
          <a:off x="963083" y="11367769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585</xdr:row>
      <xdr:rowOff>132925</xdr:rowOff>
    </xdr:from>
    <xdr:ext cx="811107" cy="720515"/>
    <xdr:pic>
      <xdr:nvPicPr>
        <xdr:cNvPr id="53" name="33 Imagen">
          <a:extLst>
            <a:ext uri="{FF2B5EF4-FFF2-40B4-BE49-F238E27FC236}">
              <a16:creationId xmlns:a16="http://schemas.microsoft.com/office/drawing/2014/main" xmlns="" id="{4C092EB7-1045-4B01-A634-B782B2A7AC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2031556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585</xdr:row>
      <xdr:rowOff>152822</xdr:rowOff>
    </xdr:from>
    <xdr:ext cx="800101" cy="708237"/>
    <xdr:pic>
      <xdr:nvPicPr>
        <xdr:cNvPr id="54" name="34 Imagen">
          <a:extLst>
            <a:ext uri="{FF2B5EF4-FFF2-40B4-BE49-F238E27FC236}">
              <a16:creationId xmlns:a16="http://schemas.microsoft.com/office/drawing/2014/main" xmlns="" id="{1744CFCB-7660-48A9-BB16-49FB79F39F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033546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585</xdr:row>
      <xdr:rowOff>63499</xdr:rowOff>
    </xdr:from>
    <xdr:to>
      <xdr:col>3</xdr:col>
      <xdr:colOff>74083</xdr:colOff>
      <xdr:row>588</xdr:row>
      <xdr:rowOff>0</xdr:rowOff>
    </xdr:to>
    <xdr:sp macro="" textlink="">
      <xdr:nvSpPr>
        <xdr:cNvPr id="55" name="Cuadro de texto 134">
          <a:extLst>
            <a:ext uri="{FF2B5EF4-FFF2-40B4-BE49-F238E27FC236}">
              <a16:creationId xmlns:a16="http://schemas.microsoft.com/office/drawing/2014/main" xmlns="" id="{9DE6EA6B-8F5C-4C97-8DAD-1B205A73DB3D}"/>
            </a:ext>
          </a:extLst>
        </xdr:cNvPr>
        <xdr:cNvSpPr txBox="1">
          <a:spLocks noChangeArrowheads="1"/>
        </xdr:cNvSpPr>
      </xdr:nvSpPr>
      <xdr:spPr bwMode="auto">
        <a:xfrm>
          <a:off x="963083" y="12024613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F1752F32-D33A-479A-8B50-B626BB5234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11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C3A480EC-BE4C-476F-8C4F-659A1DF0078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43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313C161A-01E2-4D06-8570-B1ECF0EE3A3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38791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0183BDBE-A441-477E-9103-D4D6577A47BE}"/>
            </a:ext>
          </a:extLst>
        </xdr:cNvPr>
        <xdr:cNvSpPr txBox="1">
          <a:spLocks noChangeArrowheads="1"/>
        </xdr:cNvSpPr>
      </xdr:nvSpPr>
      <xdr:spPr bwMode="auto">
        <a:xfrm>
          <a:off x="2545080" y="91440"/>
          <a:ext cx="1029462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6" name="33 Imagen">
          <a:extLst>
            <a:ext uri="{FF2B5EF4-FFF2-40B4-BE49-F238E27FC236}">
              <a16:creationId xmlns:a16="http://schemas.microsoft.com/office/drawing/2014/main" xmlns="" id="{3B1BD1B8-346D-40B9-B3ED-A90A65A87C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7" name="34 Imagen">
          <a:extLst>
            <a:ext uri="{FF2B5EF4-FFF2-40B4-BE49-F238E27FC236}">
              <a16:creationId xmlns:a16="http://schemas.microsoft.com/office/drawing/2014/main" xmlns="" id="{53A470F6-1042-433F-A943-6A2665A30B9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8" name="35 Imagen" descr="D:\José Luis Gavidia\Logo\logo.jpg">
          <a:extLst>
            <a:ext uri="{FF2B5EF4-FFF2-40B4-BE49-F238E27FC236}">
              <a16:creationId xmlns:a16="http://schemas.microsoft.com/office/drawing/2014/main" xmlns="" id="{3402135A-E024-415E-B646-2C393FDED8A1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38791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FC39B7F3-95E4-4BBF-A611-11E176526A1C}"/>
            </a:ext>
          </a:extLst>
        </xdr:cNvPr>
        <xdr:cNvSpPr txBox="1">
          <a:spLocks noChangeArrowheads="1"/>
        </xdr:cNvSpPr>
      </xdr:nvSpPr>
      <xdr:spPr bwMode="auto">
        <a:xfrm>
          <a:off x="2545080" y="6103620"/>
          <a:ext cx="1029462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52</xdr:row>
      <xdr:rowOff>62447</xdr:rowOff>
    </xdr:from>
    <xdr:ext cx="653861" cy="748192"/>
    <xdr:pic>
      <xdr:nvPicPr>
        <xdr:cNvPr id="10" name="33 Imagen">
          <a:extLst>
            <a:ext uri="{FF2B5EF4-FFF2-40B4-BE49-F238E27FC236}">
              <a16:creationId xmlns:a16="http://schemas.microsoft.com/office/drawing/2014/main" xmlns="" id="{9CF7AFBC-3930-48E7-B3EA-2A6C8B533E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476904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52</xdr:row>
      <xdr:rowOff>23329</xdr:rowOff>
    </xdr:from>
    <xdr:ext cx="615761" cy="771096"/>
    <xdr:pic>
      <xdr:nvPicPr>
        <xdr:cNvPr id="11" name="34 Imagen">
          <a:extLst>
            <a:ext uri="{FF2B5EF4-FFF2-40B4-BE49-F238E27FC236}">
              <a16:creationId xmlns:a16="http://schemas.microsoft.com/office/drawing/2014/main" xmlns="" id="{D20149D1-EBCA-435B-B661-E6040B5E72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1472992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52</xdr:row>
      <xdr:rowOff>14392</xdr:rowOff>
    </xdr:from>
    <xdr:ext cx="1742872" cy="812459"/>
    <xdr:pic>
      <xdr:nvPicPr>
        <xdr:cNvPr id="12" name="35 Imagen" descr="D:\José Luis Gavidia\Logo\logo.jpg">
          <a:extLst>
            <a:ext uri="{FF2B5EF4-FFF2-40B4-BE49-F238E27FC236}">
              <a16:creationId xmlns:a16="http://schemas.microsoft.com/office/drawing/2014/main" xmlns="" id="{BBFC97B4-874B-48B6-A516-462B3C991EAC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874723" y="1472099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52</xdr:row>
      <xdr:rowOff>91440</xdr:rowOff>
    </xdr:from>
    <xdr:to>
      <xdr:col>16</xdr:col>
      <xdr:colOff>723900</xdr:colOff>
      <xdr:row>56</xdr:row>
      <xdr:rowOff>137160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55149B6C-0BCC-46A2-9D6C-6FC4FBE90612}"/>
            </a:ext>
          </a:extLst>
        </xdr:cNvPr>
        <xdr:cNvSpPr txBox="1">
          <a:spLocks noChangeArrowheads="1"/>
        </xdr:cNvSpPr>
      </xdr:nvSpPr>
      <xdr:spPr bwMode="auto">
        <a:xfrm>
          <a:off x="2545080" y="14798040"/>
          <a:ext cx="1029462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1</xdr:col>
      <xdr:colOff>2756</xdr:colOff>
      <xdr:row>0</xdr:row>
      <xdr:rowOff>86764</xdr:rowOff>
    </xdr:from>
    <xdr:ext cx="759244" cy="821151"/>
    <xdr:pic>
      <xdr:nvPicPr>
        <xdr:cNvPr id="14" name="33 Imagen">
          <a:extLst>
            <a:ext uri="{FF2B5EF4-FFF2-40B4-BE49-F238E27FC236}">
              <a16:creationId xmlns:a16="http://schemas.microsoft.com/office/drawing/2014/main" xmlns="" id="{557B1CC5-E60B-43CC-8DEC-48903A6634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11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15" name="34 Imagen">
          <a:extLst>
            <a:ext uri="{FF2B5EF4-FFF2-40B4-BE49-F238E27FC236}">
              <a16:creationId xmlns:a16="http://schemas.microsoft.com/office/drawing/2014/main" xmlns="" id="{F9D0B2BE-ABDA-4856-9658-7E25AEEA966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43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16" name="35 Imagen" descr="D:\José Luis Gavidia\Logo\logo.jpg">
          <a:extLst>
            <a:ext uri="{FF2B5EF4-FFF2-40B4-BE49-F238E27FC236}">
              <a16:creationId xmlns:a16="http://schemas.microsoft.com/office/drawing/2014/main" xmlns="" id="{C70627B9-1BCD-4890-BFA5-2182F1DEDC4E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38791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253D62C1-F6EB-4B95-AD0B-9F07E37A47BA}"/>
            </a:ext>
          </a:extLst>
        </xdr:cNvPr>
        <xdr:cNvSpPr txBox="1">
          <a:spLocks noChangeArrowheads="1"/>
        </xdr:cNvSpPr>
      </xdr:nvSpPr>
      <xdr:spPr bwMode="auto">
        <a:xfrm>
          <a:off x="2545080" y="91440"/>
          <a:ext cx="1029462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18" name="33 Imagen">
          <a:extLst>
            <a:ext uri="{FF2B5EF4-FFF2-40B4-BE49-F238E27FC236}">
              <a16:creationId xmlns:a16="http://schemas.microsoft.com/office/drawing/2014/main" xmlns="" id="{311182F0-15AE-487A-AE38-6D12A15BE2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19" name="34 Imagen">
          <a:extLst>
            <a:ext uri="{FF2B5EF4-FFF2-40B4-BE49-F238E27FC236}">
              <a16:creationId xmlns:a16="http://schemas.microsoft.com/office/drawing/2014/main" xmlns="" id="{B95D76A6-50B0-4DC8-9298-BDB5D7022C2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20" name="35 Imagen" descr="D:\José Luis Gavidia\Logo\logo.jpg">
          <a:extLst>
            <a:ext uri="{FF2B5EF4-FFF2-40B4-BE49-F238E27FC236}">
              <a16:creationId xmlns:a16="http://schemas.microsoft.com/office/drawing/2014/main" xmlns="" id="{CC830B1F-F310-4800-8441-AF5FCE165E42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38791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9493DDBD-5630-4D07-83CC-0C307D93ACB2}"/>
            </a:ext>
          </a:extLst>
        </xdr:cNvPr>
        <xdr:cNvSpPr txBox="1">
          <a:spLocks noChangeArrowheads="1"/>
        </xdr:cNvSpPr>
      </xdr:nvSpPr>
      <xdr:spPr bwMode="auto">
        <a:xfrm>
          <a:off x="2545080" y="6103620"/>
          <a:ext cx="1029462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52</xdr:row>
      <xdr:rowOff>62447</xdr:rowOff>
    </xdr:from>
    <xdr:ext cx="653861" cy="748192"/>
    <xdr:pic>
      <xdr:nvPicPr>
        <xdr:cNvPr id="22" name="33 Imagen">
          <a:extLst>
            <a:ext uri="{FF2B5EF4-FFF2-40B4-BE49-F238E27FC236}">
              <a16:creationId xmlns:a16="http://schemas.microsoft.com/office/drawing/2014/main" xmlns="" id="{64C6DB42-2977-401A-8C0A-D5D51D2424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476904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52</xdr:row>
      <xdr:rowOff>23329</xdr:rowOff>
    </xdr:from>
    <xdr:ext cx="615761" cy="771096"/>
    <xdr:pic>
      <xdr:nvPicPr>
        <xdr:cNvPr id="23" name="34 Imagen">
          <a:extLst>
            <a:ext uri="{FF2B5EF4-FFF2-40B4-BE49-F238E27FC236}">
              <a16:creationId xmlns:a16="http://schemas.microsoft.com/office/drawing/2014/main" xmlns="" id="{BE07E042-6413-4087-9599-B80DFF0080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1472992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52</xdr:row>
      <xdr:rowOff>14392</xdr:rowOff>
    </xdr:from>
    <xdr:ext cx="1742872" cy="812459"/>
    <xdr:pic>
      <xdr:nvPicPr>
        <xdr:cNvPr id="24" name="35 Imagen" descr="D:\José Luis Gavidia\Logo\logo.jpg">
          <a:extLst>
            <a:ext uri="{FF2B5EF4-FFF2-40B4-BE49-F238E27FC236}">
              <a16:creationId xmlns:a16="http://schemas.microsoft.com/office/drawing/2014/main" xmlns="" id="{4C22104B-B563-410F-951F-2ECBB79FB9FA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874723" y="1472099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52</xdr:row>
      <xdr:rowOff>91440</xdr:rowOff>
    </xdr:from>
    <xdr:to>
      <xdr:col>16</xdr:col>
      <xdr:colOff>723900</xdr:colOff>
      <xdr:row>56</xdr:row>
      <xdr:rowOff>137160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BA9D9491-142A-4DF4-9FC3-67AEAAD6AF7F}"/>
            </a:ext>
          </a:extLst>
        </xdr:cNvPr>
        <xdr:cNvSpPr txBox="1">
          <a:spLocks noChangeArrowheads="1"/>
        </xdr:cNvSpPr>
      </xdr:nvSpPr>
      <xdr:spPr bwMode="auto">
        <a:xfrm>
          <a:off x="2545080" y="14798040"/>
          <a:ext cx="1029462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42334</xdr:colOff>
      <xdr:row>1</xdr:row>
      <xdr:rowOff>158749</xdr:rowOff>
    </xdr:from>
    <xdr:ext cx="582083" cy="687917"/>
    <xdr:pic>
      <xdr:nvPicPr>
        <xdr:cNvPr id="54" name="53 Imagen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113135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1</xdr:row>
      <xdr:rowOff>148166</xdr:rowOff>
    </xdr:from>
    <xdr:ext cx="529167" cy="677334"/>
    <xdr:pic>
      <xdr:nvPicPr>
        <xdr:cNvPr id="55" name="54 Imagen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13125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1</xdr:row>
      <xdr:rowOff>105833</xdr:rowOff>
    </xdr:from>
    <xdr:ext cx="1153583" cy="762000"/>
    <xdr:pic>
      <xdr:nvPicPr>
        <xdr:cNvPr id="56" name="55 Imagen" descr="D:\José Luis Gavidia\Logo\logo.jpg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113082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57" name="Cuadro de texto 134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963083" y="113040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42334</xdr:colOff>
      <xdr:row>49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35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49</xdr:row>
      <xdr:rowOff>148166</xdr:rowOff>
    </xdr:from>
    <xdr:ext cx="5291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349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49</xdr:row>
      <xdr:rowOff>105833</xdr:rowOff>
    </xdr:from>
    <xdr:ext cx="115358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306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49</xdr:row>
      <xdr:rowOff>63499</xdr:rowOff>
    </xdr:from>
    <xdr:to>
      <xdr:col>3</xdr:col>
      <xdr:colOff>74083</xdr:colOff>
      <xdr:row>53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42334</xdr:colOff>
      <xdr:row>99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10265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99</xdr:row>
      <xdr:rowOff>148166</xdr:rowOff>
    </xdr:from>
    <xdr:ext cx="5291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0255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99</xdr:row>
      <xdr:rowOff>105833</xdr:rowOff>
    </xdr:from>
    <xdr:ext cx="115358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10212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99</xdr:row>
      <xdr:rowOff>63499</xdr:rowOff>
    </xdr:from>
    <xdr:to>
      <xdr:col>3</xdr:col>
      <xdr:colOff>74083</xdr:colOff>
      <xdr:row>103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0170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42334</xdr:colOff>
      <xdr:row>149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20552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149</xdr:row>
      <xdr:rowOff>148166</xdr:rowOff>
    </xdr:from>
    <xdr:ext cx="5291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20542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149</xdr:row>
      <xdr:rowOff>105833</xdr:rowOff>
    </xdr:from>
    <xdr:ext cx="115358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20499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149</xdr:row>
      <xdr:rowOff>63499</xdr:rowOff>
    </xdr:from>
    <xdr:to>
      <xdr:col>3</xdr:col>
      <xdr:colOff>74083</xdr:colOff>
      <xdr:row>153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0457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42334</xdr:colOff>
      <xdr:row>199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3083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199</xdr:row>
      <xdr:rowOff>148166</xdr:rowOff>
    </xdr:from>
    <xdr:ext cx="5291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30829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199</xdr:row>
      <xdr:rowOff>105833</xdr:rowOff>
    </xdr:from>
    <xdr:ext cx="115358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30786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199</xdr:row>
      <xdr:rowOff>63499</xdr:rowOff>
    </xdr:from>
    <xdr:to>
      <xdr:col>3</xdr:col>
      <xdr:colOff>74083</xdr:colOff>
      <xdr:row>203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0744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42334</xdr:colOff>
      <xdr:row>249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41126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249</xdr:row>
      <xdr:rowOff>148166</xdr:rowOff>
    </xdr:from>
    <xdr:ext cx="5291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41116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249</xdr:row>
      <xdr:rowOff>105833</xdr:rowOff>
    </xdr:from>
    <xdr:ext cx="115358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41073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249</xdr:row>
      <xdr:rowOff>63499</xdr:rowOff>
    </xdr:from>
    <xdr:to>
      <xdr:col>3</xdr:col>
      <xdr:colOff>74083</xdr:colOff>
      <xdr:row>253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1031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42334</xdr:colOff>
      <xdr:row>299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51413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299</xdr:row>
      <xdr:rowOff>148166</xdr:rowOff>
    </xdr:from>
    <xdr:ext cx="5291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51403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299</xdr:row>
      <xdr:rowOff>105833</xdr:rowOff>
    </xdr:from>
    <xdr:ext cx="115358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51360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299</xdr:row>
      <xdr:rowOff>63499</xdr:rowOff>
    </xdr:from>
    <xdr:to>
      <xdr:col>3</xdr:col>
      <xdr:colOff>74083</xdr:colOff>
      <xdr:row>303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1318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42334</xdr:colOff>
      <xdr:row>349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61700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349</xdr:row>
      <xdr:rowOff>148166</xdr:rowOff>
    </xdr:from>
    <xdr:ext cx="5291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61690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349</xdr:row>
      <xdr:rowOff>105833</xdr:rowOff>
    </xdr:from>
    <xdr:ext cx="115358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61647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349</xdr:row>
      <xdr:rowOff>63499</xdr:rowOff>
    </xdr:from>
    <xdr:to>
      <xdr:col>3</xdr:col>
      <xdr:colOff>74083</xdr:colOff>
      <xdr:row>353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1605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42334</xdr:colOff>
      <xdr:row>400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61700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400</xdr:row>
      <xdr:rowOff>148166</xdr:rowOff>
    </xdr:from>
    <xdr:ext cx="5291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61690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400</xdr:row>
      <xdr:rowOff>105833</xdr:rowOff>
    </xdr:from>
    <xdr:ext cx="115358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61647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400</xdr:row>
      <xdr:rowOff>63499</xdr:rowOff>
    </xdr:from>
    <xdr:to>
      <xdr:col>3</xdr:col>
      <xdr:colOff>74083</xdr:colOff>
      <xdr:row>404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1605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133773</xdr:colOff>
      <xdr:row>0</xdr:row>
      <xdr:rowOff>132925</xdr:rowOff>
    </xdr:from>
    <xdr:ext cx="811107" cy="720515"/>
    <xdr:pic>
      <xdr:nvPicPr>
        <xdr:cNvPr id="2" name="33 Imagen">
          <a:extLst>
            <a:ext uri="{FF2B5EF4-FFF2-40B4-BE49-F238E27FC236}">
              <a16:creationId xmlns:a16="http://schemas.microsoft.com/office/drawing/2014/main" xmlns="" id="{11B3ABF4-4629-492F-BE7D-021EF1E130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0</xdr:row>
      <xdr:rowOff>152822</xdr:rowOff>
    </xdr:from>
    <xdr:ext cx="800101" cy="708237"/>
    <xdr:pic>
      <xdr:nvPicPr>
        <xdr:cNvPr id="3" name="34 Imagen">
          <a:extLst>
            <a:ext uri="{FF2B5EF4-FFF2-40B4-BE49-F238E27FC236}">
              <a16:creationId xmlns:a16="http://schemas.microsoft.com/office/drawing/2014/main" xmlns="" id="{32A338ED-06B8-4D5D-AE07-468D1450979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0</xdr:row>
      <xdr:rowOff>63499</xdr:rowOff>
    </xdr:from>
    <xdr:to>
      <xdr:col>3</xdr:col>
      <xdr:colOff>74083</xdr:colOff>
      <xdr:row>3</xdr:row>
      <xdr:rowOff>0</xdr:rowOff>
    </xdr:to>
    <xdr:sp macro="" textlink="">
      <xdr:nvSpPr>
        <xdr:cNvPr id="4" name="Cuadro de texto 134">
          <a:extLst>
            <a:ext uri="{FF2B5EF4-FFF2-40B4-BE49-F238E27FC236}">
              <a16:creationId xmlns:a16="http://schemas.microsoft.com/office/drawing/2014/main" xmlns="" id="{1EDAA219-74C9-4874-98CD-C94F0CF41C6A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32</xdr:row>
      <xdr:rowOff>132925</xdr:rowOff>
    </xdr:from>
    <xdr:ext cx="811107" cy="720515"/>
    <xdr:pic>
      <xdr:nvPicPr>
        <xdr:cNvPr id="5" name="33 Imagen">
          <a:extLst>
            <a:ext uri="{FF2B5EF4-FFF2-40B4-BE49-F238E27FC236}">
              <a16:creationId xmlns:a16="http://schemas.microsoft.com/office/drawing/2014/main" xmlns="" id="{CCEC175E-D68B-4B42-9C3A-A3728251A5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32</xdr:row>
      <xdr:rowOff>152822</xdr:rowOff>
    </xdr:from>
    <xdr:ext cx="800101" cy="708237"/>
    <xdr:pic>
      <xdr:nvPicPr>
        <xdr:cNvPr id="6" name="34 Imagen">
          <a:extLst>
            <a:ext uri="{FF2B5EF4-FFF2-40B4-BE49-F238E27FC236}">
              <a16:creationId xmlns:a16="http://schemas.microsoft.com/office/drawing/2014/main" xmlns="" id="{60279C16-25C7-4323-8528-9A9C185D203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32</xdr:row>
      <xdr:rowOff>63499</xdr:rowOff>
    </xdr:from>
    <xdr:to>
      <xdr:col>3</xdr:col>
      <xdr:colOff>74083</xdr:colOff>
      <xdr:row>35</xdr:row>
      <xdr:rowOff>0</xdr:rowOff>
    </xdr:to>
    <xdr:sp macro="" textlink="">
      <xdr:nvSpPr>
        <xdr:cNvPr id="7" name="Cuadro de texto 134">
          <a:extLst>
            <a:ext uri="{FF2B5EF4-FFF2-40B4-BE49-F238E27FC236}">
              <a16:creationId xmlns:a16="http://schemas.microsoft.com/office/drawing/2014/main" xmlns="" id="{09CFD21A-657B-42BF-BEF8-033914049DE1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68</xdr:row>
      <xdr:rowOff>132925</xdr:rowOff>
    </xdr:from>
    <xdr:ext cx="811107" cy="720515"/>
    <xdr:pic>
      <xdr:nvPicPr>
        <xdr:cNvPr id="8" name="33 Imagen">
          <a:extLst>
            <a:ext uri="{FF2B5EF4-FFF2-40B4-BE49-F238E27FC236}">
              <a16:creationId xmlns:a16="http://schemas.microsoft.com/office/drawing/2014/main" xmlns="" id="{844B81FF-4CC6-484C-A87B-8F6F923C3C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42985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68</xdr:row>
      <xdr:rowOff>152822</xdr:rowOff>
    </xdr:from>
    <xdr:ext cx="800101" cy="708237"/>
    <xdr:pic>
      <xdr:nvPicPr>
        <xdr:cNvPr id="9" name="34 Imagen">
          <a:extLst>
            <a:ext uri="{FF2B5EF4-FFF2-40B4-BE49-F238E27FC236}">
              <a16:creationId xmlns:a16="http://schemas.microsoft.com/office/drawing/2014/main" xmlns="" id="{30EC99BD-6A96-4B84-AD4D-73C28904CA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43184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68</xdr:row>
      <xdr:rowOff>63499</xdr:rowOff>
    </xdr:from>
    <xdr:to>
      <xdr:col>3</xdr:col>
      <xdr:colOff>74083</xdr:colOff>
      <xdr:row>71</xdr:row>
      <xdr:rowOff>0</xdr:rowOff>
    </xdr:to>
    <xdr:sp macro="" textlink="">
      <xdr:nvSpPr>
        <xdr:cNvPr id="10" name="Cuadro de texto 134">
          <a:extLst>
            <a:ext uri="{FF2B5EF4-FFF2-40B4-BE49-F238E27FC236}">
              <a16:creationId xmlns:a16="http://schemas.microsoft.com/office/drawing/2014/main" xmlns="" id="{4683CC60-4512-4E54-BA2E-261FAF421D6D}"/>
            </a:ext>
          </a:extLst>
        </xdr:cNvPr>
        <xdr:cNvSpPr txBox="1">
          <a:spLocks noChangeArrowheads="1"/>
        </xdr:cNvSpPr>
      </xdr:nvSpPr>
      <xdr:spPr bwMode="auto">
        <a:xfrm>
          <a:off x="963083" y="14229079"/>
          <a:ext cx="4635500" cy="9347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100</xdr:row>
      <xdr:rowOff>132925</xdr:rowOff>
    </xdr:from>
    <xdr:ext cx="811107" cy="720515"/>
    <xdr:pic>
      <xdr:nvPicPr>
        <xdr:cNvPr id="11" name="33 Imagen">
          <a:extLst>
            <a:ext uri="{FF2B5EF4-FFF2-40B4-BE49-F238E27FC236}">
              <a16:creationId xmlns:a16="http://schemas.microsoft.com/office/drawing/2014/main" xmlns="" id="{4FB4960A-A832-4361-92E2-F670E04FBC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213089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100</xdr:row>
      <xdr:rowOff>152822</xdr:rowOff>
    </xdr:from>
    <xdr:ext cx="800101" cy="708237"/>
    <xdr:pic>
      <xdr:nvPicPr>
        <xdr:cNvPr id="12" name="34 Imagen">
          <a:extLst>
            <a:ext uri="{FF2B5EF4-FFF2-40B4-BE49-F238E27FC236}">
              <a16:creationId xmlns:a16="http://schemas.microsoft.com/office/drawing/2014/main" xmlns="" id="{3508EC2E-50C8-489E-BCE8-84FABA7D0A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213288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100</xdr:row>
      <xdr:rowOff>63499</xdr:rowOff>
    </xdr:from>
    <xdr:to>
      <xdr:col>3</xdr:col>
      <xdr:colOff>74083</xdr:colOff>
      <xdr:row>103</xdr:row>
      <xdr:rowOff>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B7D628F2-9DBF-42FF-8FBB-A5654B1CE639}"/>
            </a:ext>
          </a:extLst>
        </xdr:cNvPr>
        <xdr:cNvSpPr txBox="1">
          <a:spLocks noChangeArrowheads="1"/>
        </xdr:cNvSpPr>
      </xdr:nvSpPr>
      <xdr:spPr bwMode="auto">
        <a:xfrm>
          <a:off x="963083" y="21239479"/>
          <a:ext cx="4635500" cy="8966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88053</xdr:colOff>
      <xdr:row>133</xdr:row>
      <xdr:rowOff>110065</xdr:rowOff>
    </xdr:from>
    <xdr:ext cx="811107" cy="720515"/>
    <xdr:pic>
      <xdr:nvPicPr>
        <xdr:cNvPr id="14" name="33 Imagen">
          <a:extLst>
            <a:ext uri="{FF2B5EF4-FFF2-40B4-BE49-F238E27FC236}">
              <a16:creationId xmlns:a16="http://schemas.microsoft.com/office/drawing/2014/main" xmlns="" id="{8336DEC2-A563-4F94-9B79-EB21851CE6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" y="284412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3</xdr:col>
      <xdr:colOff>403860</xdr:colOff>
      <xdr:row>133</xdr:row>
      <xdr:rowOff>76622</xdr:rowOff>
    </xdr:from>
    <xdr:ext cx="800101" cy="708237"/>
    <xdr:pic>
      <xdr:nvPicPr>
        <xdr:cNvPr id="15" name="34 Imagen">
          <a:extLst>
            <a:ext uri="{FF2B5EF4-FFF2-40B4-BE49-F238E27FC236}">
              <a16:creationId xmlns:a16="http://schemas.microsoft.com/office/drawing/2014/main" xmlns="" id="{26B2FA7F-2E82-42B6-8159-E30728DFA16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8360" y="284077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963082</xdr:colOff>
      <xdr:row>133</xdr:row>
      <xdr:rowOff>63499</xdr:rowOff>
    </xdr:from>
    <xdr:to>
      <xdr:col>3</xdr:col>
      <xdr:colOff>731519</xdr:colOff>
      <xdr:row>136</xdr:row>
      <xdr:rowOff>0</xdr:rowOff>
    </xdr:to>
    <xdr:sp macro="" textlink="">
      <xdr:nvSpPr>
        <xdr:cNvPr id="16" name="Cuadro de texto 134">
          <a:extLst>
            <a:ext uri="{FF2B5EF4-FFF2-40B4-BE49-F238E27FC236}">
              <a16:creationId xmlns:a16="http://schemas.microsoft.com/office/drawing/2014/main" xmlns="" id="{D59C326F-BF62-4FE2-8E4D-5C3AACE7E6EB}"/>
            </a:ext>
          </a:extLst>
        </xdr:cNvPr>
        <xdr:cNvSpPr txBox="1">
          <a:spLocks noChangeArrowheads="1"/>
        </xdr:cNvSpPr>
      </xdr:nvSpPr>
      <xdr:spPr bwMode="auto">
        <a:xfrm>
          <a:off x="963082" y="28394659"/>
          <a:ext cx="5292937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165</xdr:row>
      <xdr:rowOff>132925</xdr:rowOff>
    </xdr:from>
    <xdr:ext cx="811107" cy="720515"/>
    <xdr:pic>
      <xdr:nvPicPr>
        <xdr:cNvPr id="17" name="33 Imagen">
          <a:extLst>
            <a:ext uri="{FF2B5EF4-FFF2-40B4-BE49-F238E27FC236}">
              <a16:creationId xmlns:a16="http://schemas.microsoft.com/office/drawing/2014/main" xmlns="" id="{512C2F0F-FCAC-4ADE-9A05-7DA397B8A9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350325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165</xdr:row>
      <xdr:rowOff>152822</xdr:rowOff>
    </xdr:from>
    <xdr:ext cx="800101" cy="708237"/>
    <xdr:pic>
      <xdr:nvPicPr>
        <xdr:cNvPr id="18" name="34 Imagen">
          <a:extLst>
            <a:ext uri="{FF2B5EF4-FFF2-40B4-BE49-F238E27FC236}">
              <a16:creationId xmlns:a16="http://schemas.microsoft.com/office/drawing/2014/main" xmlns="" id="{401B563E-FEAD-49CD-9D4F-6AEE96D9D0B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50524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165</xdr:row>
      <xdr:rowOff>63499</xdr:rowOff>
    </xdr:from>
    <xdr:to>
      <xdr:col>3</xdr:col>
      <xdr:colOff>74083</xdr:colOff>
      <xdr:row>168</xdr:row>
      <xdr:rowOff>0</xdr:rowOff>
    </xdr:to>
    <xdr:sp macro="" textlink="">
      <xdr:nvSpPr>
        <xdr:cNvPr id="19" name="Cuadro de texto 134">
          <a:extLst>
            <a:ext uri="{FF2B5EF4-FFF2-40B4-BE49-F238E27FC236}">
              <a16:creationId xmlns:a16="http://schemas.microsoft.com/office/drawing/2014/main" xmlns="" id="{64439CC6-E266-4CFB-AB0D-20D8D7E5CFD0}"/>
            </a:ext>
          </a:extLst>
        </xdr:cNvPr>
        <xdr:cNvSpPr txBox="1">
          <a:spLocks noChangeArrowheads="1"/>
        </xdr:cNvSpPr>
      </xdr:nvSpPr>
      <xdr:spPr bwMode="auto">
        <a:xfrm>
          <a:off x="963083" y="3496309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203</xdr:row>
      <xdr:rowOff>132925</xdr:rowOff>
    </xdr:from>
    <xdr:ext cx="811107" cy="720515"/>
    <xdr:pic>
      <xdr:nvPicPr>
        <xdr:cNvPr id="20" name="33 Imagen">
          <a:extLst>
            <a:ext uri="{FF2B5EF4-FFF2-40B4-BE49-F238E27FC236}">
              <a16:creationId xmlns:a16="http://schemas.microsoft.com/office/drawing/2014/main" xmlns="" id="{FBBFFD9B-F9BA-45AC-A666-9BAC6DE400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426982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203</xdr:row>
      <xdr:rowOff>152822</xdr:rowOff>
    </xdr:from>
    <xdr:ext cx="800101" cy="708237"/>
    <xdr:pic>
      <xdr:nvPicPr>
        <xdr:cNvPr id="21" name="34 Imagen">
          <a:extLst>
            <a:ext uri="{FF2B5EF4-FFF2-40B4-BE49-F238E27FC236}">
              <a16:creationId xmlns:a16="http://schemas.microsoft.com/office/drawing/2014/main" xmlns="" id="{5C84C29E-6673-4235-9B6E-0965F5D75F9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27181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203</xdr:row>
      <xdr:rowOff>63499</xdr:rowOff>
    </xdr:from>
    <xdr:to>
      <xdr:col>3</xdr:col>
      <xdr:colOff>74083</xdr:colOff>
      <xdr:row>206</xdr:row>
      <xdr:rowOff>0</xdr:rowOff>
    </xdr:to>
    <xdr:sp macro="" textlink="">
      <xdr:nvSpPr>
        <xdr:cNvPr id="22" name="Cuadro de texto 134">
          <a:extLst>
            <a:ext uri="{FF2B5EF4-FFF2-40B4-BE49-F238E27FC236}">
              <a16:creationId xmlns:a16="http://schemas.microsoft.com/office/drawing/2014/main" xmlns="" id="{35D14ABA-AED0-4D04-8703-6BEE33A57AAF}"/>
            </a:ext>
          </a:extLst>
        </xdr:cNvPr>
        <xdr:cNvSpPr txBox="1">
          <a:spLocks noChangeArrowheads="1"/>
        </xdr:cNvSpPr>
      </xdr:nvSpPr>
      <xdr:spPr bwMode="auto">
        <a:xfrm>
          <a:off x="963083" y="426288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235</xdr:row>
      <xdr:rowOff>132925</xdr:rowOff>
    </xdr:from>
    <xdr:ext cx="811107" cy="720515"/>
    <xdr:pic>
      <xdr:nvPicPr>
        <xdr:cNvPr id="23" name="33 Imagen">
          <a:extLst>
            <a:ext uri="{FF2B5EF4-FFF2-40B4-BE49-F238E27FC236}">
              <a16:creationId xmlns:a16="http://schemas.microsoft.com/office/drawing/2014/main" xmlns="" id="{34E8045D-3990-4DBC-AC22-1828175BA2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4926668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235</xdr:row>
      <xdr:rowOff>152822</xdr:rowOff>
    </xdr:from>
    <xdr:ext cx="800101" cy="708237"/>
    <xdr:pic>
      <xdr:nvPicPr>
        <xdr:cNvPr id="24" name="34 Imagen">
          <a:extLst>
            <a:ext uri="{FF2B5EF4-FFF2-40B4-BE49-F238E27FC236}">
              <a16:creationId xmlns:a16="http://schemas.microsoft.com/office/drawing/2014/main" xmlns="" id="{0F632680-DC25-4071-A93C-B8D70F48BE4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92865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235</xdr:row>
      <xdr:rowOff>63499</xdr:rowOff>
    </xdr:from>
    <xdr:to>
      <xdr:col>3</xdr:col>
      <xdr:colOff>74083</xdr:colOff>
      <xdr:row>238</xdr:row>
      <xdr:rowOff>0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59D5212A-7988-4AFD-9882-28139C4651DB}"/>
            </a:ext>
          </a:extLst>
        </xdr:cNvPr>
        <xdr:cNvSpPr txBox="1">
          <a:spLocks noChangeArrowheads="1"/>
        </xdr:cNvSpPr>
      </xdr:nvSpPr>
      <xdr:spPr bwMode="auto">
        <a:xfrm>
          <a:off x="963083" y="4919725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273</xdr:row>
      <xdr:rowOff>132925</xdr:rowOff>
    </xdr:from>
    <xdr:ext cx="811107" cy="720515"/>
    <xdr:pic>
      <xdr:nvPicPr>
        <xdr:cNvPr id="26" name="33 Imagen">
          <a:extLst>
            <a:ext uri="{FF2B5EF4-FFF2-40B4-BE49-F238E27FC236}">
              <a16:creationId xmlns:a16="http://schemas.microsoft.com/office/drawing/2014/main" xmlns="" id="{2B68D330-998D-48C7-82E3-972AC9B739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569324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273</xdr:row>
      <xdr:rowOff>152822</xdr:rowOff>
    </xdr:from>
    <xdr:ext cx="800101" cy="708237"/>
    <xdr:pic>
      <xdr:nvPicPr>
        <xdr:cNvPr id="27" name="34 Imagen">
          <a:extLst>
            <a:ext uri="{FF2B5EF4-FFF2-40B4-BE49-F238E27FC236}">
              <a16:creationId xmlns:a16="http://schemas.microsoft.com/office/drawing/2014/main" xmlns="" id="{020A83F1-2A9D-424F-9728-FFB075CB9D9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569523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273</xdr:row>
      <xdr:rowOff>63499</xdr:rowOff>
    </xdr:from>
    <xdr:to>
      <xdr:col>3</xdr:col>
      <xdr:colOff>74083</xdr:colOff>
      <xdr:row>276</xdr:row>
      <xdr:rowOff>0</xdr:rowOff>
    </xdr:to>
    <xdr:sp macro="" textlink="">
      <xdr:nvSpPr>
        <xdr:cNvPr id="28" name="Cuadro de texto 134">
          <a:extLst>
            <a:ext uri="{FF2B5EF4-FFF2-40B4-BE49-F238E27FC236}">
              <a16:creationId xmlns:a16="http://schemas.microsoft.com/office/drawing/2014/main" xmlns="" id="{3DBA666F-0450-4C43-82A7-4407CAF7FA7A}"/>
            </a:ext>
          </a:extLst>
        </xdr:cNvPr>
        <xdr:cNvSpPr txBox="1">
          <a:spLocks noChangeArrowheads="1"/>
        </xdr:cNvSpPr>
      </xdr:nvSpPr>
      <xdr:spPr bwMode="auto">
        <a:xfrm>
          <a:off x="963083" y="568629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305</xdr:row>
      <xdr:rowOff>132925</xdr:rowOff>
    </xdr:from>
    <xdr:ext cx="811107" cy="720515"/>
    <xdr:pic>
      <xdr:nvPicPr>
        <xdr:cNvPr id="29" name="33 Imagen">
          <a:extLst>
            <a:ext uri="{FF2B5EF4-FFF2-40B4-BE49-F238E27FC236}">
              <a16:creationId xmlns:a16="http://schemas.microsoft.com/office/drawing/2014/main" xmlns="" id="{A9126F9F-9A1A-4DB7-8749-F8BB3DD993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35008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305</xdr:row>
      <xdr:rowOff>152822</xdr:rowOff>
    </xdr:from>
    <xdr:ext cx="800101" cy="708237"/>
    <xdr:pic>
      <xdr:nvPicPr>
        <xdr:cNvPr id="30" name="34 Imagen">
          <a:extLst>
            <a:ext uri="{FF2B5EF4-FFF2-40B4-BE49-F238E27FC236}">
              <a16:creationId xmlns:a16="http://schemas.microsoft.com/office/drawing/2014/main" xmlns="" id="{CEAC9B2A-D550-4011-B866-882F2A2520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35207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305</xdr:row>
      <xdr:rowOff>63499</xdr:rowOff>
    </xdr:from>
    <xdr:to>
      <xdr:col>3</xdr:col>
      <xdr:colOff>74083</xdr:colOff>
      <xdr:row>308</xdr:row>
      <xdr:rowOff>0</xdr:rowOff>
    </xdr:to>
    <xdr:sp macro="" textlink="">
      <xdr:nvSpPr>
        <xdr:cNvPr id="31" name="Cuadro de texto 134">
          <a:extLst>
            <a:ext uri="{FF2B5EF4-FFF2-40B4-BE49-F238E27FC236}">
              <a16:creationId xmlns:a16="http://schemas.microsoft.com/office/drawing/2014/main" xmlns="" id="{AE3C256D-5C58-435A-B8ED-BC6B9EFFC566}"/>
            </a:ext>
          </a:extLst>
        </xdr:cNvPr>
        <xdr:cNvSpPr txBox="1">
          <a:spLocks noChangeArrowheads="1"/>
        </xdr:cNvSpPr>
      </xdr:nvSpPr>
      <xdr:spPr bwMode="auto">
        <a:xfrm>
          <a:off x="963083" y="634314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343</xdr:row>
      <xdr:rowOff>132925</xdr:rowOff>
    </xdr:from>
    <xdr:ext cx="811107" cy="720515"/>
    <xdr:pic>
      <xdr:nvPicPr>
        <xdr:cNvPr id="32" name="33 Imagen">
          <a:extLst>
            <a:ext uri="{FF2B5EF4-FFF2-40B4-BE49-F238E27FC236}">
              <a16:creationId xmlns:a16="http://schemas.microsoft.com/office/drawing/2014/main" xmlns="" id="{F49F9A00-807E-4560-8764-3B2E7F73A0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710446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343</xdr:row>
      <xdr:rowOff>152822</xdr:rowOff>
    </xdr:from>
    <xdr:ext cx="800101" cy="708237"/>
    <xdr:pic>
      <xdr:nvPicPr>
        <xdr:cNvPr id="33" name="34 Imagen">
          <a:extLst>
            <a:ext uri="{FF2B5EF4-FFF2-40B4-BE49-F238E27FC236}">
              <a16:creationId xmlns:a16="http://schemas.microsoft.com/office/drawing/2014/main" xmlns="" id="{E8C31C7F-EAA9-4369-A6FF-315598D7BF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710645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343</xdr:row>
      <xdr:rowOff>63499</xdr:rowOff>
    </xdr:from>
    <xdr:to>
      <xdr:col>3</xdr:col>
      <xdr:colOff>74083</xdr:colOff>
      <xdr:row>346</xdr:row>
      <xdr:rowOff>0</xdr:rowOff>
    </xdr:to>
    <xdr:sp macro="" textlink="">
      <xdr:nvSpPr>
        <xdr:cNvPr id="34" name="Cuadro de texto 134">
          <a:extLst>
            <a:ext uri="{FF2B5EF4-FFF2-40B4-BE49-F238E27FC236}">
              <a16:creationId xmlns:a16="http://schemas.microsoft.com/office/drawing/2014/main" xmlns="" id="{D575F781-7AF5-4026-A3FB-3D0555690713}"/>
            </a:ext>
          </a:extLst>
        </xdr:cNvPr>
        <xdr:cNvSpPr txBox="1">
          <a:spLocks noChangeArrowheads="1"/>
        </xdr:cNvSpPr>
      </xdr:nvSpPr>
      <xdr:spPr bwMode="auto">
        <a:xfrm>
          <a:off x="963083" y="709752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375</xdr:row>
      <xdr:rowOff>132925</xdr:rowOff>
    </xdr:from>
    <xdr:ext cx="811107" cy="720515"/>
    <xdr:pic>
      <xdr:nvPicPr>
        <xdr:cNvPr id="35" name="33 Imagen">
          <a:extLst>
            <a:ext uri="{FF2B5EF4-FFF2-40B4-BE49-F238E27FC236}">
              <a16:creationId xmlns:a16="http://schemas.microsoft.com/office/drawing/2014/main" xmlns="" id="{CB9D7C05-3434-4CCB-AC96-B36FE65CAC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7761308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375</xdr:row>
      <xdr:rowOff>152822</xdr:rowOff>
    </xdr:from>
    <xdr:ext cx="800101" cy="708237"/>
    <xdr:pic>
      <xdr:nvPicPr>
        <xdr:cNvPr id="36" name="34 Imagen">
          <a:extLst>
            <a:ext uri="{FF2B5EF4-FFF2-40B4-BE49-F238E27FC236}">
              <a16:creationId xmlns:a16="http://schemas.microsoft.com/office/drawing/2014/main" xmlns="" id="{655A50D6-E4D0-4B87-A759-6CC2EE0E949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776329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375</xdr:row>
      <xdr:rowOff>63499</xdr:rowOff>
    </xdr:from>
    <xdr:to>
      <xdr:col>3</xdr:col>
      <xdr:colOff>74083</xdr:colOff>
      <xdr:row>378</xdr:row>
      <xdr:rowOff>0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95C96B9B-3AF2-49C0-904D-1C204BA55170}"/>
            </a:ext>
          </a:extLst>
        </xdr:cNvPr>
        <xdr:cNvSpPr txBox="1">
          <a:spLocks noChangeArrowheads="1"/>
        </xdr:cNvSpPr>
      </xdr:nvSpPr>
      <xdr:spPr bwMode="auto">
        <a:xfrm>
          <a:off x="963083" y="7754365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413</xdr:row>
      <xdr:rowOff>132925</xdr:rowOff>
    </xdr:from>
    <xdr:ext cx="811107" cy="720515"/>
    <xdr:pic>
      <xdr:nvPicPr>
        <xdr:cNvPr id="38" name="33 Imagen">
          <a:extLst>
            <a:ext uri="{FF2B5EF4-FFF2-40B4-BE49-F238E27FC236}">
              <a16:creationId xmlns:a16="http://schemas.microsoft.com/office/drawing/2014/main" xmlns="" id="{0878015E-951C-436B-8C5F-922B97FCC3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852788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413</xdr:row>
      <xdr:rowOff>152822</xdr:rowOff>
    </xdr:from>
    <xdr:ext cx="800101" cy="708237"/>
    <xdr:pic>
      <xdr:nvPicPr>
        <xdr:cNvPr id="39" name="34 Imagen">
          <a:extLst>
            <a:ext uri="{FF2B5EF4-FFF2-40B4-BE49-F238E27FC236}">
              <a16:creationId xmlns:a16="http://schemas.microsoft.com/office/drawing/2014/main" xmlns="" id="{0AE3AB01-7E71-41D5-BC7F-AEECC94E5C2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852987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413</xdr:row>
      <xdr:rowOff>63499</xdr:rowOff>
    </xdr:from>
    <xdr:to>
      <xdr:col>3</xdr:col>
      <xdr:colOff>74083</xdr:colOff>
      <xdr:row>416</xdr:row>
      <xdr:rowOff>0</xdr:rowOff>
    </xdr:to>
    <xdr:sp macro="" textlink="">
      <xdr:nvSpPr>
        <xdr:cNvPr id="40" name="Cuadro de texto 134">
          <a:extLst>
            <a:ext uri="{FF2B5EF4-FFF2-40B4-BE49-F238E27FC236}">
              <a16:creationId xmlns:a16="http://schemas.microsoft.com/office/drawing/2014/main" xmlns="" id="{4B4A8890-8D1F-47B8-AB07-B1A22646CC3F}"/>
            </a:ext>
          </a:extLst>
        </xdr:cNvPr>
        <xdr:cNvSpPr txBox="1">
          <a:spLocks noChangeArrowheads="1"/>
        </xdr:cNvSpPr>
      </xdr:nvSpPr>
      <xdr:spPr bwMode="auto">
        <a:xfrm>
          <a:off x="963083" y="852093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445</xdr:row>
      <xdr:rowOff>132925</xdr:rowOff>
    </xdr:from>
    <xdr:ext cx="811107" cy="720515"/>
    <xdr:pic>
      <xdr:nvPicPr>
        <xdr:cNvPr id="41" name="33 Imagen">
          <a:extLst>
            <a:ext uri="{FF2B5EF4-FFF2-40B4-BE49-F238E27FC236}">
              <a16:creationId xmlns:a16="http://schemas.microsoft.com/office/drawing/2014/main" xmlns="" id="{41C5E5BD-A675-4ECE-B022-5DC2415315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918472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445</xdr:row>
      <xdr:rowOff>152822</xdr:rowOff>
    </xdr:from>
    <xdr:ext cx="800101" cy="708237"/>
    <xdr:pic>
      <xdr:nvPicPr>
        <xdr:cNvPr id="42" name="34 Imagen">
          <a:extLst>
            <a:ext uri="{FF2B5EF4-FFF2-40B4-BE49-F238E27FC236}">
              <a16:creationId xmlns:a16="http://schemas.microsoft.com/office/drawing/2014/main" xmlns="" id="{052CF26F-C188-4744-8FBA-FDFD730A86C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18671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445</xdr:row>
      <xdr:rowOff>63499</xdr:rowOff>
    </xdr:from>
    <xdr:to>
      <xdr:col>3</xdr:col>
      <xdr:colOff>74083</xdr:colOff>
      <xdr:row>448</xdr:row>
      <xdr:rowOff>0</xdr:rowOff>
    </xdr:to>
    <xdr:sp macro="" textlink="">
      <xdr:nvSpPr>
        <xdr:cNvPr id="43" name="Cuadro de texto 134">
          <a:extLst>
            <a:ext uri="{FF2B5EF4-FFF2-40B4-BE49-F238E27FC236}">
              <a16:creationId xmlns:a16="http://schemas.microsoft.com/office/drawing/2014/main" xmlns="" id="{80782728-E3F4-4238-A993-74D4F8D32845}"/>
            </a:ext>
          </a:extLst>
        </xdr:cNvPr>
        <xdr:cNvSpPr txBox="1">
          <a:spLocks noChangeArrowheads="1"/>
        </xdr:cNvSpPr>
      </xdr:nvSpPr>
      <xdr:spPr bwMode="auto">
        <a:xfrm>
          <a:off x="963083" y="917778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483</xdr:row>
      <xdr:rowOff>132925</xdr:rowOff>
    </xdr:from>
    <xdr:ext cx="811107" cy="720515"/>
    <xdr:pic>
      <xdr:nvPicPr>
        <xdr:cNvPr id="44" name="33 Imagen">
          <a:extLst>
            <a:ext uri="{FF2B5EF4-FFF2-40B4-BE49-F238E27FC236}">
              <a16:creationId xmlns:a16="http://schemas.microsoft.com/office/drawing/2014/main" xmlns="" id="{862CCD0D-EAFF-4530-8049-445E36D4F1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9951296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483</xdr:row>
      <xdr:rowOff>152822</xdr:rowOff>
    </xdr:from>
    <xdr:ext cx="800101" cy="708237"/>
    <xdr:pic>
      <xdr:nvPicPr>
        <xdr:cNvPr id="45" name="34 Imagen">
          <a:extLst>
            <a:ext uri="{FF2B5EF4-FFF2-40B4-BE49-F238E27FC236}">
              <a16:creationId xmlns:a16="http://schemas.microsoft.com/office/drawing/2014/main" xmlns="" id="{D6A5AFC4-D4AE-4D4C-9539-F1B3590FF25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953286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483</xdr:row>
      <xdr:rowOff>63499</xdr:rowOff>
    </xdr:from>
    <xdr:to>
      <xdr:col>3</xdr:col>
      <xdr:colOff>74083</xdr:colOff>
      <xdr:row>486</xdr:row>
      <xdr:rowOff>0</xdr:rowOff>
    </xdr:to>
    <xdr:sp macro="" textlink="">
      <xdr:nvSpPr>
        <xdr:cNvPr id="46" name="Cuadro de texto 134">
          <a:extLst>
            <a:ext uri="{FF2B5EF4-FFF2-40B4-BE49-F238E27FC236}">
              <a16:creationId xmlns:a16="http://schemas.microsoft.com/office/drawing/2014/main" xmlns="" id="{FB940A87-9B2F-4052-BF6C-FAFBF8C26891}"/>
            </a:ext>
          </a:extLst>
        </xdr:cNvPr>
        <xdr:cNvSpPr txBox="1">
          <a:spLocks noChangeArrowheads="1"/>
        </xdr:cNvSpPr>
      </xdr:nvSpPr>
      <xdr:spPr bwMode="auto">
        <a:xfrm>
          <a:off x="963083" y="9944353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515</xdr:row>
      <xdr:rowOff>132925</xdr:rowOff>
    </xdr:from>
    <xdr:ext cx="811107" cy="720515"/>
    <xdr:pic>
      <xdr:nvPicPr>
        <xdr:cNvPr id="47" name="33 Imagen">
          <a:extLst>
            <a:ext uri="{FF2B5EF4-FFF2-40B4-BE49-F238E27FC236}">
              <a16:creationId xmlns:a16="http://schemas.microsoft.com/office/drawing/2014/main" xmlns="" id="{8B45DA4E-4A61-4E71-AB10-9539AB1A13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060814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515</xdr:row>
      <xdr:rowOff>152822</xdr:rowOff>
    </xdr:from>
    <xdr:ext cx="800101" cy="708237"/>
    <xdr:pic>
      <xdr:nvPicPr>
        <xdr:cNvPr id="48" name="34 Imagen">
          <a:extLst>
            <a:ext uri="{FF2B5EF4-FFF2-40B4-BE49-F238E27FC236}">
              <a16:creationId xmlns:a16="http://schemas.microsoft.com/office/drawing/2014/main" xmlns="" id="{67C6FDD9-A8A0-44CC-8F88-7FD69E646FA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061013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515</xdr:row>
      <xdr:rowOff>63499</xdr:rowOff>
    </xdr:from>
    <xdr:to>
      <xdr:col>3</xdr:col>
      <xdr:colOff>74083</xdr:colOff>
      <xdr:row>518</xdr:row>
      <xdr:rowOff>0</xdr:rowOff>
    </xdr:to>
    <xdr:sp macro="" textlink="">
      <xdr:nvSpPr>
        <xdr:cNvPr id="49" name="Cuadro de texto 134">
          <a:extLst>
            <a:ext uri="{FF2B5EF4-FFF2-40B4-BE49-F238E27FC236}">
              <a16:creationId xmlns:a16="http://schemas.microsoft.com/office/drawing/2014/main" xmlns="" id="{B8D08BE4-1079-4730-9836-9143C91C40A4}"/>
            </a:ext>
          </a:extLst>
        </xdr:cNvPr>
        <xdr:cNvSpPr txBox="1">
          <a:spLocks noChangeArrowheads="1"/>
        </xdr:cNvSpPr>
      </xdr:nvSpPr>
      <xdr:spPr bwMode="auto">
        <a:xfrm>
          <a:off x="963083" y="1060119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553</xdr:row>
      <xdr:rowOff>132925</xdr:rowOff>
    </xdr:from>
    <xdr:ext cx="811107" cy="720515"/>
    <xdr:pic>
      <xdr:nvPicPr>
        <xdr:cNvPr id="50" name="33 Imagen">
          <a:extLst>
            <a:ext uri="{FF2B5EF4-FFF2-40B4-BE49-F238E27FC236}">
              <a16:creationId xmlns:a16="http://schemas.microsoft.com/office/drawing/2014/main" xmlns="" id="{16FEC820-9127-42F1-85DB-10AEDBA5DB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137471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553</xdr:row>
      <xdr:rowOff>152822</xdr:rowOff>
    </xdr:from>
    <xdr:ext cx="800101" cy="708237"/>
    <xdr:pic>
      <xdr:nvPicPr>
        <xdr:cNvPr id="51" name="34 Imagen">
          <a:extLst>
            <a:ext uri="{FF2B5EF4-FFF2-40B4-BE49-F238E27FC236}">
              <a16:creationId xmlns:a16="http://schemas.microsoft.com/office/drawing/2014/main" xmlns="" id="{9147DAE1-109B-4574-8832-EC8C489081D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137670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553</xdr:row>
      <xdr:rowOff>63499</xdr:rowOff>
    </xdr:from>
    <xdr:to>
      <xdr:col>3</xdr:col>
      <xdr:colOff>74083</xdr:colOff>
      <xdr:row>556</xdr:row>
      <xdr:rowOff>0</xdr:rowOff>
    </xdr:to>
    <xdr:sp macro="" textlink="">
      <xdr:nvSpPr>
        <xdr:cNvPr id="52" name="Cuadro de texto 134">
          <a:extLst>
            <a:ext uri="{FF2B5EF4-FFF2-40B4-BE49-F238E27FC236}">
              <a16:creationId xmlns:a16="http://schemas.microsoft.com/office/drawing/2014/main" xmlns="" id="{6339CF36-300B-4DE5-982D-E10215CAE6F2}"/>
            </a:ext>
          </a:extLst>
        </xdr:cNvPr>
        <xdr:cNvSpPr txBox="1">
          <a:spLocks noChangeArrowheads="1"/>
        </xdr:cNvSpPr>
      </xdr:nvSpPr>
      <xdr:spPr bwMode="auto">
        <a:xfrm>
          <a:off x="963083" y="11367769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585</xdr:row>
      <xdr:rowOff>132925</xdr:rowOff>
    </xdr:from>
    <xdr:ext cx="811107" cy="720515"/>
    <xdr:pic>
      <xdr:nvPicPr>
        <xdr:cNvPr id="53" name="33 Imagen">
          <a:extLst>
            <a:ext uri="{FF2B5EF4-FFF2-40B4-BE49-F238E27FC236}">
              <a16:creationId xmlns:a16="http://schemas.microsoft.com/office/drawing/2014/main" xmlns="" id="{20926CF7-83C4-466E-A719-3BCD5F1006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2031556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585</xdr:row>
      <xdr:rowOff>152822</xdr:rowOff>
    </xdr:from>
    <xdr:ext cx="800101" cy="708237"/>
    <xdr:pic>
      <xdr:nvPicPr>
        <xdr:cNvPr id="54" name="34 Imagen">
          <a:extLst>
            <a:ext uri="{FF2B5EF4-FFF2-40B4-BE49-F238E27FC236}">
              <a16:creationId xmlns:a16="http://schemas.microsoft.com/office/drawing/2014/main" xmlns="" id="{F1A2DB4F-5B38-4E21-8062-221F0BB055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033546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585</xdr:row>
      <xdr:rowOff>63499</xdr:rowOff>
    </xdr:from>
    <xdr:to>
      <xdr:col>3</xdr:col>
      <xdr:colOff>74083</xdr:colOff>
      <xdr:row>588</xdr:row>
      <xdr:rowOff>0</xdr:rowOff>
    </xdr:to>
    <xdr:sp macro="" textlink="">
      <xdr:nvSpPr>
        <xdr:cNvPr id="55" name="Cuadro de texto 134">
          <a:extLst>
            <a:ext uri="{FF2B5EF4-FFF2-40B4-BE49-F238E27FC236}">
              <a16:creationId xmlns:a16="http://schemas.microsoft.com/office/drawing/2014/main" xmlns="" id="{4D2A4E88-74DF-4D50-B9FD-1223E9D1CDD1}"/>
            </a:ext>
          </a:extLst>
        </xdr:cNvPr>
        <xdr:cNvSpPr txBox="1">
          <a:spLocks noChangeArrowheads="1"/>
        </xdr:cNvSpPr>
      </xdr:nvSpPr>
      <xdr:spPr bwMode="auto">
        <a:xfrm>
          <a:off x="963083" y="12024613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383756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6495E6FD-38C7-48AF-9B5D-E084428787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7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1</xdr:col>
      <xdr:colOff>787453</xdr:colOff>
      <xdr:row>0</xdr:row>
      <xdr:rowOff>0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E6A574EA-B265-40D9-93CC-BF154F8E031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73" y="0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7</xdr:col>
      <xdr:colOff>685800</xdr:colOff>
      <xdr:row>0</xdr:row>
      <xdr:rowOff>30480</xdr:rowOff>
    </xdr:from>
    <xdr:ext cx="1432560" cy="86868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5933CA2C-5D3A-4659-B56E-56B77FE08113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0767060" y="30480"/>
          <a:ext cx="1432560" cy="8686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2</xdr:col>
      <xdr:colOff>883920</xdr:colOff>
      <xdr:row>0</xdr:row>
      <xdr:rowOff>45720</xdr:rowOff>
    </xdr:from>
    <xdr:to>
      <xdr:col>7</xdr:col>
      <xdr:colOff>381000</xdr:colOff>
      <xdr:row>4</xdr:row>
      <xdr:rowOff>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0C1F7B07-0107-4952-89FA-20E1431E0F3B}"/>
            </a:ext>
          </a:extLst>
        </xdr:cNvPr>
        <xdr:cNvSpPr txBox="1">
          <a:spLocks noChangeArrowheads="1"/>
        </xdr:cNvSpPr>
      </xdr:nvSpPr>
      <xdr:spPr bwMode="auto">
        <a:xfrm>
          <a:off x="2202180" y="45720"/>
          <a:ext cx="8260080" cy="86868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2756</xdr:colOff>
      <xdr:row>0</xdr:row>
      <xdr:rowOff>86764</xdr:rowOff>
    </xdr:from>
    <xdr:ext cx="759244" cy="821151"/>
    <xdr:pic>
      <xdr:nvPicPr>
        <xdr:cNvPr id="2" name="33 Imagen">
          <a:extLst>
            <a:ext uri="{FF2B5EF4-FFF2-40B4-BE49-F238E27FC236}">
              <a16:creationId xmlns:a16="http://schemas.microsoft.com/office/drawing/2014/main" xmlns="" id="{44AB7A0D-FFD1-45BA-8D83-823CCE08BB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11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3" name="34 Imagen">
          <a:extLst>
            <a:ext uri="{FF2B5EF4-FFF2-40B4-BE49-F238E27FC236}">
              <a16:creationId xmlns:a16="http://schemas.microsoft.com/office/drawing/2014/main" xmlns="" id="{82CD7DF2-9102-4FCC-B247-07159B21AA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43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4" name="35 Imagen" descr="D:\José Luis Gavidia\Logo\logo.jpg">
          <a:extLst>
            <a:ext uri="{FF2B5EF4-FFF2-40B4-BE49-F238E27FC236}">
              <a16:creationId xmlns:a16="http://schemas.microsoft.com/office/drawing/2014/main" xmlns="" id="{5BA36ED1-6712-4324-9A5E-0EC2C952869F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45649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5" name="Cuadro de texto 134">
          <a:extLst>
            <a:ext uri="{FF2B5EF4-FFF2-40B4-BE49-F238E27FC236}">
              <a16:creationId xmlns:a16="http://schemas.microsoft.com/office/drawing/2014/main" xmlns="" id="{B329AEB8-AE2C-4444-8290-CE486B44B9BF}"/>
            </a:ext>
          </a:extLst>
        </xdr:cNvPr>
        <xdr:cNvSpPr txBox="1">
          <a:spLocks noChangeArrowheads="1"/>
        </xdr:cNvSpPr>
      </xdr:nvSpPr>
      <xdr:spPr bwMode="auto">
        <a:xfrm>
          <a:off x="2545080" y="91440"/>
          <a:ext cx="1036320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6" name="33 Imagen">
          <a:extLst>
            <a:ext uri="{FF2B5EF4-FFF2-40B4-BE49-F238E27FC236}">
              <a16:creationId xmlns:a16="http://schemas.microsoft.com/office/drawing/2014/main" xmlns="" id="{4E228078-C6EB-4279-993B-042BD6A07E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7" name="34 Imagen">
          <a:extLst>
            <a:ext uri="{FF2B5EF4-FFF2-40B4-BE49-F238E27FC236}">
              <a16:creationId xmlns:a16="http://schemas.microsoft.com/office/drawing/2014/main" xmlns="" id="{5FDCD7DD-F087-4B13-B97B-A3DECB63A07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8" name="35 Imagen" descr="D:\José Luis Gavidia\Logo\logo.jpg">
          <a:extLst>
            <a:ext uri="{FF2B5EF4-FFF2-40B4-BE49-F238E27FC236}">
              <a16:creationId xmlns:a16="http://schemas.microsoft.com/office/drawing/2014/main" xmlns="" id="{BE92E77B-07F9-4B2F-A515-13FADCFE03E6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45649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7CCA0144-A11F-45ED-B6BF-A50B0520041A}"/>
            </a:ext>
          </a:extLst>
        </xdr:cNvPr>
        <xdr:cNvSpPr txBox="1">
          <a:spLocks noChangeArrowheads="1"/>
        </xdr:cNvSpPr>
      </xdr:nvSpPr>
      <xdr:spPr bwMode="auto">
        <a:xfrm>
          <a:off x="2545080" y="6103620"/>
          <a:ext cx="1036320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52</xdr:row>
      <xdr:rowOff>62447</xdr:rowOff>
    </xdr:from>
    <xdr:ext cx="653861" cy="748192"/>
    <xdr:pic>
      <xdr:nvPicPr>
        <xdr:cNvPr id="10" name="33 Imagen">
          <a:extLst>
            <a:ext uri="{FF2B5EF4-FFF2-40B4-BE49-F238E27FC236}">
              <a16:creationId xmlns:a16="http://schemas.microsoft.com/office/drawing/2014/main" xmlns="" id="{295506DB-A69D-4C14-BB52-C214474B4C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476904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52</xdr:row>
      <xdr:rowOff>23329</xdr:rowOff>
    </xdr:from>
    <xdr:ext cx="615761" cy="771096"/>
    <xdr:pic>
      <xdr:nvPicPr>
        <xdr:cNvPr id="11" name="34 Imagen">
          <a:extLst>
            <a:ext uri="{FF2B5EF4-FFF2-40B4-BE49-F238E27FC236}">
              <a16:creationId xmlns:a16="http://schemas.microsoft.com/office/drawing/2014/main" xmlns="" id="{FCA84658-A849-4258-81BC-7FB3DB20E42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1472992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52</xdr:row>
      <xdr:rowOff>14392</xdr:rowOff>
    </xdr:from>
    <xdr:ext cx="1742872" cy="812459"/>
    <xdr:pic>
      <xdr:nvPicPr>
        <xdr:cNvPr id="12" name="35 Imagen" descr="D:\José Luis Gavidia\Logo\logo.jpg">
          <a:extLst>
            <a:ext uri="{FF2B5EF4-FFF2-40B4-BE49-F238E27FC236}">
              <a16:creationId xmlns:a16="http://schemas.microsoft.com/office/drawing/2014/main" xmlns="" id="{92AEBC61-DB7B-417E-BA65-300D04F0A979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943303" y="1472099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52</xdr:row>
      <xdr:rowOff>91440</xdr:rowOff>
    </xdr:from>
    <xdr:to>
      <xdr:col>16</xdr:col>
      <xdr:colOff>723900</xdr:colOff>
      <xdr:row>56</xdr:row>
      <xdr:rowOff>137160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433BAF31-2D0B-498D-BEBC-56B6A3A55259}"/>
            </a:ext>
          </a:extLst>
        </xdr:cNvPr>
        <xdr:cNvSpPr txBox="1">
          <a:spLocks noChangeArrowheads="1"/>
        </xdr:cNvSpPr>
      </xdr:nvSpPr>
      <xdr:spPr bwMode="auto">
        <a:xfrm>
          <a:off x="2545080" y="14798040"/>
          <a:ext cx="1036320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1</xdr:col>
      <xdr:colOff>2756</xdr:colOff>
      <xdr:row>0</xdr:row>
      <xdr:rowOff>86764</xdr:rowOff>
    </xdr:from>
    <xdr:ext cx="759244" cy="821151"/>
    <xdr:pic>
      <xdr:nvPicPr>
        <xdr:cNvPr id="14" name="33 Imagen">
          <a:extLst>
            <a:ext uri="{FF2B5EF4-FFF2-40B4-BE49-F238E27FC236}">
              <a16:creationId xmlns:a16="http://schemas.microsoft.com/office/drawing/2014/main" xmlns="" id="{784F855D-569E-4DBB-A3D4-75E0AC56C3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116" y="86764"/>
          <a:ext cx="759244" cy="821151"/>
        </a:xfrm>
        <a:prstGeom prst="rect">
          <a:avLst/>
        </a:prstGeom>
        <a:noFill/>
      </xdr:spPr>
    </xdr:pic>
    <xdr:clientData/>
  </xdr:oneCellAnchor>
  <xdr:oneCellAnchor>
    <xdr:from>
      <xdr:col>2</xdr:col>
      <xdr:colOff>292153</xdr:colOff>
      <xdr:row>0</xdr:row>
      <xdr:rowOff>31434</xdr:rowOff>
    </xdr:from>
    <xdr:ext cx="753570" cy="852161"/>
    <xdr:pic>
      <xdr:nvPicPr>
        <xdr:cNvPr id="15" name="34 Imagen">
          <a:extLst>
            <a:ext uri="{FF2B5EF4-FFF2-40B4-BE49-F238E27FC236}">
              <a16:creationId xmlns:a16="http://schemas.microsoft.com/office/drawing/2014/main" xmlns="" id="{5A11AA00-D7CB-4E5D-A56C-162F3B397F3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433" y="31434"/>
          <a:ext cx="753570" cy="852161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0</xdr:row>
      <xdr:rowOff>14393</xdr:rowOff>
    </xdr:from>
    <xdr:ext cx="1672932" cy="942160"/>
    <xdr:pic>
      <xdr:nvPicPr>
        <xdr:cNvPr id="16" name="35 Imagen" descr="D:\José Luis Gavidia\Logo\logo.jpg">
          <a:extLst>
            <a:ext uri="{FF2B5EF4-FFF2-40B4-BE49-F238E27FC236}">
              <a16:creationId xmlns:a16="http://schemas.microsoft.com/office/drawing/2014/main" xmlns="" id="{381B3151-69EB-4288-A370-076344EAED42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456497" y="14393"/>
          <a:ext cx="1672932" cy="9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0</xdr:row>
      <xdr:rowOff>91440</xdr:rowOff>
    </xdr:from>
    <xdr:to>
      <xdr:col>16</xdr:col>
      <xdr:colOff>723900</xdr:colOff>
      <xdr:row>4</xdr:row>
      <xdr:rowOff>137160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77BAF461-C558-482C-8B75-565459DAAA0F}"/>
            </a:ext>
          </a:extLst>
        </xdr:cNvPr>
        <xdr:cNvSpPr txBox="1">
          <a:spLocks noChangeArrowheads="1"/>
        </xdr:cNvSpPr>
      </xdr:nvSpPr>
      <xdr:spPr bwMode="auto">
        <a:xfrm>
          <a:off x="2545080" y="91440"/>
          <a:ext cx="1036320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21</xdr:row>
      <xdr:rowOff>62446</xdr:rowOff>
    </xdr:from>
    <xdr:ext cx="832201" cy="934639"/>
    <xdr:pic>
      <xdr:nvPicPr>
        <xdr:cNvPr id="18" name="33 Imagen">
          <a:extLst>
            <a:ext uri="{FF2B5EF4-FFF2-40B4-BE49-F238E27FC236}">
              <a16:creationId xmlns:a16="http://schemas.microsoft.com/office/drawing/2014/main" xmlns="" id="{0EEC6DDC-817F-46E9-B13D-D0F02AC5E9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6074626"/>
          <a:ext cx="832201" cy="934639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21</xdr:row>
      <xdr:rowOff>23329</xdr:rowOff>
    </xdr:from>
    <xdr:ext cx="818420" cy="892692"/>
    <xdr:pic>
      <xdr:nvPicPr>
        <xdr:cNvPr id="19" name="34 Imagen">
          <a:extLst>
            <a:ext uri="{FF2B5EF4-FFF2-40B4-BE49-F238E27FC236}">
              <a16:creationId xmlns:a16="http://schemas.microsoft.com/office/drawing/2014/main" xmlns="" id="{E8C342C1-AF4B-4B3A-9D5E-CABBFECCA53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6035509"/>
          <a:ext cx="818420" cy="892692"/>
        </a:xfrm>
        <a:prstGeom prst="rect">
          <a:avLst/>
        </a:prstGeom>
        <a:noFill/>
      </xdr:spPr>
    </xdr:pic>
    <xdr:clientData/>
  </xdr:oneCellAnchor>
  <xdr:oneCellAnchor>
    <xdr:from>
      <xdr:col>17</xdr:col>
      <xdr:colOff>548217</xdr:colOff>
      <xdr:row>21</xdr:row>
      <xdr:rowOff>14392</xdr:rowOff>
    </xdr:from>
    <xdr:ext cx="2232272" cy="1047543"/>
    <xdr:pic>
      <xdr:nvPicPr>
        <xdr:cNvPr id="20" name="35 Imagen" descr="D:\José Luis Gavidia\Logo\logo.jpg">
          <a:extLst>
            <a:ext uri="{FF2B5EF4-FFF2-40B4-BE49-F238E27FC236}">
              <a16:creationId xmlns:a16="http://schemas.microsoft.com/office/drawing/2014/main" xmlns="" id="{6511873B-19E1-41A6-9E65-0BE5C4681431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456497" y="6026572"/>
          <a:ext cx="2232272" cy="10475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21</xdr:row>
      <xdr:rowOff>91440</xdr:rowOff>
    </xdr:from>
    <xdr:to>
      <xdr:col>16</xdr:col>
      <xdr:colOff>723900</xdr:colOff>
      <xdr:row>25</xdr:row>
      <xdr:rowOff>137160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A3F94EDC-7C2B-49A7-934F-2AC8173C639F}"/>
            </a:ext>
          </a:extLst>
        </xdr:cNvPr>
        <xdr:cNvSpPr txBox="1">
          <a:spLocks noChangeArrowheads="1"/>
        </xdr:cNvSpPr>
      </xdr:nvSpPr>
      <xdr:spPr bwMode="auto">
        <a:xfrm>
          <a:off x="2545080" y="6103620"/>
          <a:ext cx="10363200" cy="96012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416182</xdr:colOff>
      <xdr:row>52</xdr:row>
      <xdr:rowOff>62447</xdr:rowOff>
    </xdr:from>
    <xdr:ext cx="653861" cy="748192"/>
    <xdr:pic>
      <xdr:nvPicPr>
        <xdr:cNvPr id="22" name="33 Imagen">
          <a:extLst>
            <a:ext uri="{FF2B5EF4-FFF2-40B4-BE49-F238E27FC236}">
              <a16:creationId xmlns:a16="http://schemas.microsoft.com/office/drawing/2014/main" xmlns="" id="{9BC303B6-D26F-48FF-888B-2EEDD84258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82" y="14769047"/>
          <a:ext cx="653861" cy="748192"/>
        </a:xfrm>
        <a:prstGeom prst="rect">
          <a:avLst/>
        </a:prstGeom>
        <a:noFill/>
      </xdr:spPr>
    </xdr:pic>
    <xdr:clientData/>
  </xdr:oneCellAnchor>
  <xdr:oneCellAnchor>
    <xdr:from>
      <xdr:col>2</xdr:col>
      <xdr:colOff>365111</xdr:colOff>
      <xdr:row>52</xdr:row>
      <xdr:rowOff>23329</xdr:rowOff>
    </xdr:from>
    <xdr:ext cx="615761" cy="771096"/>
    <xdr:pic>
      <xdr:nvPicPr>
        <xdr:cNvPr id="23" name="34 Imagen">
          <a:extLst>
            <a:ext uri="{FF2B5EF4-FFF2-40B4-BE49-F238E27FC236}">
              <a16:creationId xmlns:a16="http://schemas.microsoft.com/office/drawing/2014/main" xmlns="" id="{908A838B-A293-42F4-B566-8D42B264BBA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391" y="14729929"/>
          <a:ext cx="615761" cy="771096"/>
        </a:xfrm>
        <a:prstGeom prst="rect">
          <a:avLst/>
        </a:prstGeom>
        <a:noFill/>
      </xdr:spPr>
    </xdr:pic>
    <xdr:clientData/>
  </xdr:oneCellAnchor>
  <xdr:oneCellAnchor>
    <xdr:from>
      <xdr:col>18</xdr:col>
      <xdr:colOff>486383</xdr:colOff>
      <xdr:row>52</xdr:row>
      <xdr:rowOff>14392</xdr:rowOff>
    </xdr:from>
    <xdr:ext cx="1742872" cy="812459"/>
    <xdr:pic>
      <xdr:nvPicPr>
        <xdr:cNvPr id="24" name="35 Imagen" descr="D:\José Luis Gavidia\Logo\logo.jpg">
          <a:extLst>
            <a:ext uri="{FF2B5EF4-FFF2-40B4-BE49-F238E27FC236}">
              <a16:creationId xmlns:a16="http://schemas.microsoft.com/office/drawing/2014/main" xmlns="" id="{9716CE39-F3BB-4462-A672-6289B994EBEA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13943303" y="14720992"/>
          <a:ext cx="1742872" cy="8124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3</xdr:col>
      <xdr:colOff>381000</xdr:colOff>
      <xdr:row>52</xdr:row>
      <xdr:rowOff>91440</xdr:rowOff>
    </xdr:from>
    <xdr:to>
      <xdr:col>16</xdr:col>
      <xdr:colOff>723900</xdr:colOff>
      <xdr:row>56</xdr:row>
      <xdr:rowOff>137160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AF547CB9-ECA1-40AD-B923-5F6B4A5DD785}"/>
            </a:ext>
          </a:extLst>
        </xdr:cNvPr>
        <xdr:cNvSpPr txBox="1">
          <a:spLocks noChangeArrowheads="1"/>
        </xdr:cNvSpPr>
      </xdr:nvSpPr>
      <xdr:spPr bwMode="auto">
        <a:xfrm>
          <a:off x="2545080" y="14798040"/>
          <a:ext cx="10363200" cy="8382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2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2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2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133773</xdr:colOff>
      <xdr:row>0</xdr:row>
      <xdr:rowOff>132925</xdr:rowOff>
    </xdr:from>
    <xdr:ext cx="811107" cy="720515"/>
    <xdr:pic>
      <xdr:nvPicPr>
        <xdr:cNvPr id="2" name="33 Imagen">
          <a:extLst>
            <a:ext uri="{FF2B5EF4-FFF2-40B4-BE49-F238E27FC236}">
              <a16:creationId xmlns:a16="http://schemas.microsoft.com/office/drawing/2014/main" xmlns="" id="{AC76C8A2-565B-411B-AB5F-FAC0990BFA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329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0</xdr:row>
      <xdr:rowOff>152822</xdr:rowOff>
    </xdr:from>
    <xdr:ext cx="800101" cy="708237"/>
    <xdr:pic>
      <xdr:nvPicPr>
        <xdr:cNvPr id="3" name="34 Imagen">
          <a:extLst>
            <a:ext uri="{FF2B5EF4-FFF2-40B4-BE49-F238E27FC236}">
              <a16:creationId xmlns:a16="http://schemas.microsoft.com/office/drawing/2014/main" xmlns="" id="{8F7CF147-23C5-4E50-B6E2-8D3CCF7B6B6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528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0</xdr:row>
      <xdr:rowOff>63499</xdr:rowOff>
    </xdr:from>
    <xdr:to>
      <xdr:col>3</xdr:col>
      <xdr:colOff>74083</xdr:colOff>
      <xdr:row>3</xdr:row>
      <xdr:rowOff>0</xdr:rowOff>
    </xdr:to>
    <xdr:sp macro="" textlink="">
      <xdr:nvSpPr>
        <xdr:cNvPr id="4" name="Cuadro de texto 134">
          <a:extLst>
            <a:ext uri="{FF2B5EF4-FFF2-40B4-BE49-F238E27FC236}">
              <a16:creationId xmlns:a16="http://schemas.microsoft.com/office/drawing/2014/main" xmlns="" id="{D2F6480C-A5B1-4A09-9F49-0C24CB31BA94}"/>
            </a:ext>
          </a:extLst>
        </xdr:cNvPr>
        <xdr:cNvSpPr txBox="1">
          <a:spLocks noChangeArrowheads="1"/>
        </xdr:cNvSpPr>
      </xdr:nvSpPr>
      <xdr:spPr bwMode="auto">
        <a:xfrm>
          <a:off x="963083" y="63499"/>
          <a:ext cx="4635500" cy="8585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32</xdr:row>
      <xdr:rowOff>132925</xdr:rowOff>
    </xdr:from>
    <xdr:ext cx="811107" cy="720515"/>
    <xdr:pic>
      <xdr:nvPicPr>
        <xdr:cNvPr id="5" name="33 Imagen">
          <a:extLst>
            <a:ext uri="{FF2B5EF4-FFF2-40B4-BE49-F238E27FC236}">
              <a16:creationId xmlns:a16="http://schemas.microsoft.com/office/drawing/2014/main" xmlns="" id="{9E69BF8A-1219-4276-B44A-CF1E4E295B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5794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32</xdr:row>
      <xdr:rowOff>152822</xdr:rowOff>
    </xdr:from>
    <xdr:ext cx="800101" cy="708237"/>
    <xdr:pic>
      <xdr:nvPicPr>
        <xdr:cNvPr id="6" name="34 Imagen">
          <a:extLst>
            <a:ext uri="{FF2B5EF4-FFF2-40B4-BE49-F238E27FC236}">
              <a16:creationId xmlns:a16="http://schemas.microsoft.com/office/drawing/2014/main" xmlns="" id="{96D2BA94-5665-47BF-AC6C-86FF82B0246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5993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32</xdr:row>
      <xdr:rowOff>63499</xdr:rowOff>
    </xdr:from>
    <xdr:to>
      <xdr:col>3</xdr:col>
      <xdr:colOff>74083</xdr:colOff>
      <xdr:row>35</xdr:row>
      <xdr:rowOff>0</xdr:rowOff>
    </xdr:to>
    <xdr:sp macro="" textlink="">
      <xdr:nvSpPr>
        <xdr:cNvPr id="7" name="Cuadro de texto 134">
          <a:extLst>
            <a:ext uri="{FF2B5EF4-FFF2-40B4-BE49-F238E27FC236}">
              <a16:creationId xmlns:a16="http://schemas.microsoft.com/office/drawing/2014/main" xmlns="" id="{0849F69A-3602-4FF2-9D3B-DAA510152671}"/>
            </a:ext>
          </a:extLst>
        </xdr:cNvPr>
        <xdr:cNvSpPr txBox="1">
          <a:spLocks noChangeArrowheads="1"/>
        </xdr:cNvSpPr>
      </xdr:nvSpPr>
      <xdr:spPr bwMode="auto">
        <a:xfrm>
          <a:off x="963083" y="6510019"/>
          <a:ext cx="4635500" cy="873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68</xdr:row>
      <xdr:rowOff>132925</xdr:rowOff>
    </xdr:from>
    <xdr:ext cx="811107" cy="720515"/>
    <xdr:pic>
      <xdr:nvPicPr>
        <xdr:cNvPr id="8" name="33 Imagen">
          <a:extLst>
            <a:ext uri="{FF2B5EF4-FFF2-40B4-BE49-F238E27FC236}">
              <a16:creationId xmlns:a16="http://schemas.microsoft.com/office/drawing/2014/main" xmlns="" id="{0971FFD7-B503-49A3-8203-AED120FFF8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42985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68</xdr:row>
      <xdr:rowOff>152822</xdr:rowOff>
    </xdr:from>
    <xdr:ext cx="800101" cy="708237"/>
    <xdr:pic>
      <xdr:nvPicPr>
        <xdr:cNvPr id="9" name="34 Imagen">
          <a:extLst>
            <a:ext uri="{FF2B5EF4-FFF2-40B4-BE49-F238E27FC236}">
              <a16:creationId xmlns:a16="http://schemas.microsoft.com/office/drawing/2014/main" xmlns="" id="{EBD58FE0-AA50-48E9-9D6E-8BE3027621D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43184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68</xdr:row>
      <xdr:rowOff>63499</xdr:rowOff>
    </xdr:from>
    <xdr:to>
      <xdr:col>3</xdr:col>
      <xdr:colOff>74083</xdr:colOff>
      <xdr:row>71</xdr:row>
      <xdr:rowOff>0</xdr:rowOff>
    </xdr:to>
    <xdr:sp macro="" textlink="">
      <xdr:nvSpPr>
        <xdr:cNvPr id="10" name="Cuadro de texto 134">
          <a:extLst>
            <a:ext uri="{FF2B5EF4-FFF2-40B4-BE49-F238E27FC236}">
              <a16:creationId xmlns:a16="http://schemas.microsoft.com/office/drawing/2014/main" xmlns="" id="{C9041A24-BD4C-4558-865A-1F6FC75D7FB0}"/>
            </a:ext>
          </a:extLst>
        </xdr:cNvPr>
        <xdr:cNvSpPr txBox="1">
          <a:spLocks noChangeArrowheads="1"/>
        </xdr:cNvSpPr>
      </xdr:nvSpPr>
      <xdr:spPr bwMode="auto">
        <a:xfrm>
          <a:off x="963083" y="14229079"/>
          <a:ext cx="4635500" cy="9347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100</xdr:row>
      <xdr:rowOff>132925</xdr:rowOff>
    </xdr:from>
    <xdr:ext cx="811107" cy="720515"/>
    <xdr:pic>
      <xdr:nvPicPr>
        <xdr:cNvPr id="11" name="33 Imagen">
          <a:extLst>
            <a:ext uri="{FF2B5EF4-FFF2-40B4-BE49-F238E27FC236}">
              <a16:creationId xmlns:a16="http://schemas.microsoft.com/office/drawing/2014/main" xmlns="" id="{FB6F8908-0D46-44F8-A0E0-55AF521700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213089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100</xdr:row>
      <xdr:rowOff>152822</xdr:rowOff>
    </xdr:from>
    <xdr:ext cx="800101" cy="708237"/>
    <xdr:pic>
      <xdr:nvPicPr>
        <xdr:cNvPr id="12" name="34 Imagen">
          <a:extLst>
            <a:ext uri="{FF2B5EF4-FFF2-40B4-BE49-F238E27FC236}">
              <a16:creationId xmlns:a16="http://schemas.microsoft.com/office/drawing/2014/main" xmlns="" id="{53A336EB-160B-4E38-8E20-16E9ED955F0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213288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100</xdr:row>
      <xdr:rowOff>63499</xdr:rowOff>
    </xdr:from>
    <xdr:to>
      <xdr:col>3</xdr:col>
      <xdr:colOff>74083</xdr:colOff>
      <xdr:row>103</xdr:row>
      <xdr:rowOff>0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1F87E2C1-C075-4693-B6ED-EB38B100FD6E}"/>
            </a:ext>
          </a:extLst>
        </xdr:cNvPr>
        <xdr:cNvSpPr txBox="1">
          <a:spLocks noChangeArrowheads="1"/>
        </xdr:cNvSpPr>
      </xdr:nvSpPr>
      <xdr:spPr bwMode="auto">
        <a:xfrm>
          <a:off x="963083" y="21239479"/>
          <a:ext cx="4635500" cy="89662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88053</xdr:colOff>
      <xdr:row>133</xdr:row>
      <xdr:rowOff>110065</xdr:rowOff>
    </xdr:from>
    <xdr:ext cx="811107" cy="720515"/>
    <xdr:pic>
      <xdr:nvPicPr>
        <xdr:cNvPr id="14" name="33 Imagen">
          <a:extLst>
            <a:ext uri="{FF2B5EF4-FFF2-40B4-BE49-F238E27FC236}">
              <a16:creationId xmlns:a16="http://schemas.microsoft.com/office/drawing/2014/main" xmlns="" id="{24C3491A-5B16-4385-A2DF-4691694B2A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" y="284412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3</xdr:col>
      <xdr:colOff>403860</xdr:colOff>
      <xdr:row>133</xdr:row>
      <xdr:rowOff>76622</xdr:rowOff>
    </xdr:from>
    <xdr:ext cx="800101" cy="708237"/>
    <xdr:pic>
      <xdr:nvPicPr>
        <xdr:cNvPr id="15" name="34 Imagen">
          <a:extLst>
            <a:ext uri="{FF2B5EF4-FFF2-40B4-BE49-F238E27FC236}">
              <a16:creationId xmlns:a16="http://schemas.microsoft.com/office/drawing/2014/main" xmlns="" id="{1D7CEA11-9BF2-41D0-8F88-443D352FFC6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8360" y="284077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963082</xdr:colOff>
      <xdr:row>133</xdr:row>
      <xdr:rowOff>63499</xdr:rowOff>
    </xdr:from>
    <xdr:to>
      <xdr:col>3</xdr:col>
      <xdr:colOff>731519</xdr:colOff>
      <xdr:row>136</xdr:row>
      <xdr:rowOff>0</xdr:rowOff>
    </xdr:to>
    <xdr:sp macro="" textlink="">
      <xdr:nvSpPr>
        <xdr:cNvPr id="16" name="Cuadro de texto 134">
          <a:extLst>
            <a:ext uri="{FF2B5EF4-FFF2-40B4-BE49-F238E27FC236}">
              <a16:creationId xmlns:a16="http://schemas.microsoft.com/office/drawing/2014/main" xmlns="" id="{66EF8F8C-9FFC-492F-BD67-498FB99DA8B9}"/>
            </a:ext>
          </a:extLst>
        </xdr:cNvPr>
        <xdr:cNvSpPr txBox="1">
          <a:spLocks noChangeArrowheads="1"/>
        </xdr:cNvSpPr>
      </xdr:nvSpPr>
      <xdr:spPr bwMode="auto">
        <a:xfrm>
          <a:off x="963082" y="28394659"/>
          <a:ext cx="5292937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165</xdr:row>
      <xdr:rowOff>132925</xdr:rowOff>
    </xdr:from>
    <xdr:ext cx="811107" cy="720515"/>
    <xdr:pic>
      <xdr:nvPicPr>
        <xdr:cNvPr id="17" name="33 Imagen">
          <a:extLst>
            <a:ext uri="{FF2B5EF4-FFF2-40B4-BE49-F238E27FC236}">
              <a16:creationId xmlns:a16="http://schemas.microsoft.com/office/drawing/2014/main" xmlns="" id="{7A0DD737-092C-4920-9A1E-EC396287D4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350325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165</xdr:row>
      <xdr:rowOff>152822</xdr:rowOff>
    </xdr:from>
    <xdr:ext cx="800101" cy="708237"/>
    <xdr:pic>
      <xdr:nvPicPr>
        <xdr:cNvPr id="18" name="34 Imagen">
          <a:extLst>
            <a:ext uri="{FF2B5EF4-FFF2-40B4-BE49-F238E27FC236}">
              <a16:creationId xmlns:a16="http://schemas.microsoft.com/office/drawing/2014/main" xmlns="" id="{E8A933A6-1EFA-4BC6-A6DF-DAE5CF5260E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50524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165</xdr:row>
      <xdr:rowOff>63499</xdr:rowOff>
    </xdr:from>
    <xdr:to>
      <xdr:col>3</xdr:col>
      <xdr:colOff>74083</xdr:colOff>
      <xdr:row>168</xdr:row>
      <xdr:rowOff>0</xdr:rowOff>
    </xdr:to>
    <xdr:sp macro="" textlink="">
      <xdr:nvSpPr>
        <xdr:cNvPr id="19" name="Cuadro de texto 134">
          <a:extLst>
            <a:ext uri="{FF2B5EF4-FFF2-40B4-BE49-F238E27FC236}">
              <a16:creationId xmlns:a16="http://schemas.microsoft.com/office/drawing/2014/main" xmlns="" id="{8455696B-3812-4487-B0A2-0CDEFD9D4587}"/>
            </a:ext>
          </a:extLst>
        </xdr:cNvPr>
        <xdr:cNvSpPr txBox="1">
          <a:spLocks noChangeArrowheads="1"/>
        </xdr:cNvSpPr>
      </xdr:nvSpPr>
      <xdr:spPr bwMode="auto">
        <a:xfrm>
          <a:off x="963083" y="3496309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203</xdr:row>
      <xdr:rowOff>132925</xdr:rowOff>
    </xdr:from>
    <xdr:ext cx="811107" cy="720515"/>
    <xdr:pic>
      <xdr:nvPicPr>
        <xdr:cNvPr id="20" name="33 Imagen">
          <a:extLst>
            <a:ext uri="{FF2B5EF4-FFF2-40B4-BE49-F238E27FC236}">
              <a16:creationId xmlns:a16="http://schemas.microsoft.com/office/drawing/2014/main" xmlns="" id="{9881713B-BF2E-40D0-893B-977DF02D8F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426982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203</xdr:row>
      <xdr:rowOff>152822</xdr:rowOff>
    </xdr:from>
    <xdr:ext cx="800101" cy="708237"/>
    <xdr:pic>
      <xdr:nvPicPr>
        <xdr:cNvPr id="21" name="34 Imagen">
          <a:extLst>
            <a:ext uri="{FF2B5EF4-FFF2-40B4-BE49-F238E27FC236}">
              <a16:creationId xmlns:a16="http://schemas.microsoft.com/office/drawing/2014/main" xmlns="" id="{25728AF9-28DB-4165-9C0C-DBE8045874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27181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203</xdr:row>
      <xdr:rowOff>63499</xdr:rowOff>
    </xdr:from>
    <xdr:to>
      <xdr:col>3</xdr:col>
      <xdr:colOff>74083</xdr:colOff>
      <xdr:row>206</xdr:row>
      <xdr:rowOff>0</xdr:rowOff>
    </xdr:to>
    <xdr:sp macro="" textlink="">
      <xdr:nvSpPr>
        <xdr:cNvPr id="22" name="Cuadro de texto 134">
          <a:extLst>
            <a:ext uri="{FF2B5EF4-FFF2-40B4-BE49-F238E27FC236}">
              <a16:creationId xmlns:a16="http://schemas.microsoft.com/office/drawing/2014/main" xmlns="" id="{932D0DB8-A3EE-431E-A56C-1469B563A136}"/>
            </a:ext>
          </a:extLst>
        </xdr:cNvPr>
        <xdr:cNvSpPr txBox="1">
          <a:spLocks noChangeArrowheads="1"/>
        </xdr:cNvSpPr>
      </xdr:nvSpPr>
      <xdr:spPr bwMode="auto">
        <a:xfrm>
          <a:off x="963083" y="426288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235</xdr:row>
      <xdr:rowOff>132925</xdr:rowOff>
    </xdr:from>
    <xdr:ext cx="811107" cy="720515"/>
    <xdr:pic>
      <xdr:nvPicPr>
        <xdr:cNvPr id="23" name="33 Imagen">
          <a:extLst>
            <a:ext uri="{FF2B5EF4-FFF2-40B4-BE49-F238E27FC236}">
              <a16:creationId xmlns:a16="http://schemas.microsoft.com/office/drawing/2014/main" xmlns="" id="{44FA464C-1982-4D01-9BAE-DF62D40115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4926668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235</xdr:row>
      <xdr:rowOff>152822</xdr:rowOff>
    </xdr:from>
    <xdr:ext cx="800101" cy="708237"/>
    <xdr:pic>
      <xdr:nvPicPr>
        <xdr:cNvPr id="24" name="34 Imagen">
          <a:extLst>
            <a:ext uri="{FF2B5EF4-FFF2-40B4-BE49-F238E27FC236}">
              <a16:creationId xmlns:a16="http://schemas.microsoft.com/office/drawing/2014/main" xmlns="" id="{58DBA9A3-EF23-40CD-8B4D-4B1DF90CAC8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92865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235</xdr:row>
      <xdr:rowOff>63499</xdr:rowOff>
    </xdr:from>
    <xdr:to>
      <xdr:col>3</xdr:col>
      <xdr:colOff>74083</xdr:colOff>
      <xdr:row>238</xdr:row>
      <xdr:rowOff>0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83BD72D9-7A08-4A45-94E9-85D3449F3CD1}"/>
            </a:ext>
          </a:extLst>
        </xdr:cNvPr>
        <xdr:cNvSpPr txBox="1">
          <a:spLocks noChangeArrowheads="1"/>
        </xdr:cNvSpPr>
      </xdr:nvSpPr>
      <xdr:spPr bwMode="auto">
        <a:xfrm>
          <a:off x="963083" y="4919725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273</xdr:row>
      <xdr:rowOff>132925</xdr:rowOff>
    </xdr:from>
    <xdr:ext cx="811107" cy="720515"/>
    <xdr:pic>
      <xdr:nvPicPr>
        <xdr:cNvPr id="26" name="33 Imagen">
          <a:extLst>
            <a:ext uri="{FF2B5EF4-FFF2-40B4-BE49-F238E27FC236}">
              <a16:creationId xmlns:a16="http://schemas.microsoft.com/office/drawing/2014/main" xmlns="" id="{BE1389D4-E5A4-44E9-A28D-78DA85C71F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569324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273</xdr:row>
      <xdr:rowOff>152822</xdr:rowOff>
    </xdr:from>
    <xdr:ext cx="800101" cy="708237"/>
    <xdr:pic>
      <xdr:nvPicPr>
        <xdr:cNvPr id="27" name="34 Imagen">
          <a:extLst>
            <a:ext uri="{FF2B5EF4-FFF2-40B4-BE49-F238E27FC236}">
              <a16:creationId xmlns:a16="http://schemas.microsoft.com/office/drawing/2014/main" xmlns="" id="{D71087B6-B775-4858-82BB-5AFA05E9D91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569523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273</xdr:row>
      <xdr:rowOff>63499</xdr:rowOff>
    </xdr:from>
    <xdr:to>
      <xdr:col>3</xdr:col>
      <xdr:colOff>74083</xdr:colOff>
      <xdr:row>276</xdr:row>
      <xdr:rowOff>0</xdr:rowOff>
    </xdr:to>
    <xdr:sp macro="" textlink="">
      <xdr:nvSpPr>
        <xdr:cNvPr id="28" name="Cuadro de texto 134">
          <a:extLst>
            <a:ext uri="{FF2B5EF4-FFF2-40B4-BE49-F238E27FC236}">
              <a16:creationId xmlns:a16="http://schemas.microsoft.com/office/drawing/2014/main" xmlns="" id="{6C79E24F-4D0E-4B1F-A4D9-A38D37EBB2FF}"/>
            </a:ext>
          </a:extLst>
        </xdr:cNvPr>
        <xdr:cNvSpPr txBox="1">
          <a:spLocks noChangeArrowheads="1"/>
        </xdr:cNvSpPr>
      </xdr:nvSpPr>
      <xdr:spPr bwMode="auto">
        <a:xfrm>
          <a:off x="963083" y="568629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305</xdr:row>
      <xdr:rowOff>132925</xdr:rowOff>
    </xdr:from>
    <xdr:ext cx="811107" cy="720515"/>
    <xdr:pic>
      <xdr:nvPicPr>
        <xdr:cNvPr id="29" name="33 Imagen">
          <a:extLst>
            <a:ext uri="{FF2B5EF4-FFF2-40B4-BE49-F238E27FC236}">
              <a16:creationId xmlns:a16="http://schemas.microsoft.com/office/drawing/2014/main" xmlns="" id="{FAB80FC4-BA9D-4350-BDDB-BAB93B27DC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635008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305</xdr:row>
      <xdr:rowOff>152822</xdr:rowOff>
    </xdr:from>
    <xdr:ext cx="800101" cy="708237"/>
    <xdr:pic>
      <xdr:nvPicPr>
        <xdr:cNvPr id="30" name="34 Imagen">
          <a:extLst>
            <a:ext uri="{FF2B5EF4-FFF2-40B4-BE49-F238E27FC236}">
              <a16:creationId xmlns:a16="http://schemas.microsoft.com/office/drawing/2014/main" xmlns="" id="{95E8B218-50B1-44CD-95C0-2253930E2B6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635207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305</xdr:row>
      <xdr:rowOff>63499</xdr:rowOff>
    </xdr:from>
    <xdr:to>
      <xdr:col>3</xdr:col>
      <xdr:colOff>74083</xdr:colOff>
      <xdr:row>308</xdr:row>
      <xdr:rowOff>0</xdr:rowOff>
    </xdr:to>
    <xdr:sp macro="" textlink="">
      <xdr:nvSpPr>
        <xdr:cNvPr id="31" name="Cuadro de texto 134">
          <a:extLst>
            <a:ext uri="{FF2B5EF4-FFF2-40B4-BE49-F238E27FC236}">
              <a16:creationId xmlns:a16="http://schemas.microsoft.com/office/drawing/2014/main" xmlns="" id="{E0756401-09A2-486B-AE2D-2BB37230B7DD}"/>
            </a:ext>
          </a:extLst>
        </xdr:cNvPr>
        <xdr:cNvSpPr txBox="1">
          <a:spLocks noChangeArrowheads="1"/>
        </xdr:cNvSpPr>
      </xdr:nvSpPr>
      <xdr:spPr bwMode="auto">
        <a:xfrm>
          <a:off x="963083" y="634314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343</xdr:row>
      <xdr:rowOff>132925</xdr:rowOff>
    </xdr:from>
    <xdr:ext cx="811107" cy="720515"/>
    <xdr:pic>
      <xdr:nvPicPr>
        <xdr:cNvPr id="32" name="33 Imagen">
          <a:extLst>
            <a:ext uri="{FF2B5EF4-FFF2-40B4-BE49-F238E27FC236}">
              <a16:creationId xmlns:a16="http://schemas.microsoft.com/office/drawing/2014/main" xmlns="" id="{FA411EF3-2975-4340-B324-2BB0194833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710446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343</xdr:row>
      <xdr:rowOff>152822</xdr:rowOff>
    </xdr:from>
    <xdr:ext cx="800101" cy="708237"/>
    <xdr:pic>
      <xdr:nvPicPr>
        <xdr:cNvPr id="33" name="34 Imagen">
          <a:extLst>
            <a:ext uri="{FF2B5EF4-FFF2-40B4-BE49-F238E27FC236}">
              <a16:creationId xmlns:a16="http://schemas.microsoft.com/office/drawing/2014/main" xmlns="" id="{333C9704-CECD-45C2-869B-F294E56E8F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710645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343</xdr:row>
      <xdr:rowOff>63499</xdr:rowOff>
    </xdr:from>
    <xdr:to>
      <xdr:col>3</xdr:col>
      <xdr:colOff>74083</xdr:colOff>
      <xdr:row>346</xdr:row>
      <xdr:rowOff>0</xdr:rowOff>
    </xdr:to>
    <xdr:sp macro="" textlink="">
      <xdr:nvSpPr>
        <xdr:cNvPr id="34" name="Cuadro de texto 134">
          <a:extLst>
            <a:ext uri="{FF2B5EF4-FFF2-40B4-BE49-F238E27FC236}">
              <a16:creationId xmlns:a16="http://schemas.microsoft.com/office/drawing/2014/main" xmlns="" id="{3401FAC8-31A8-49F3-976B-CB999E361114}"/>
            </a:ext>
          </a:extLst>
        </xdr:cNvPr>
        <xdr:cNvSpPr txBox="1">
          <a:spLocks noChangeArrowheads="1"/>
        </xdr:cNvSpPr>
      </xdr:nvSpPr>
      <xdr:spPr bwMode="auto">
        <a:xfrm>
          <a:off x="963083" y="709752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375</xdr:row>
      <xdr:rowOff>132925</xdr:rowOff>
    </xdr:from>
    <xdr:ext cx="811107" cy="720515"/>
    <xdr:pic>
      <xdr:nvPicPr>
        <xdr:cNvPr id="35" name="33 Imagen">
          <a:extLst>
            <a:ext uri="{FF2B5EF4-FFF2-40B4-BE49-F238E27FC236}">
              <a16:creationId xmlns:a16="http://schemas.microsoft.com/office/drawing/2014/main" xmlns="" id="{159BD99E-8D0F-4010-8ED8-230AF18A34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7761308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375</xdr:row>
      <xdr:rowOff>152822</xdr:rowOff>
    </xdr:from>
    <xdr:ext cx="800101" cy="708237"/>
    <xdr:pic>
      <xdr:nvPicPr>
        <xdr:cNvPr id="36" name="34 Imagen">
          <a:extLst>
            <a:ext uri="{FF2B5EF4-FFF2-40B4-BE49-F238E27FC236}">
              <a16:creationId xmlns:a16="http://schemas.microsoft.com/office/drawing/2014/main" xmlns="" id="{06B1655E-018E-43E7-A9C5-A82AB7C1D0C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7763298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375</xdr:row>
      <xdr:rowOff>63499</xdr:rowOff>
    </xdr:from>
    <xdr:to>
      <xdr:col>3</xdr:col>
      <xdr:colOff>74083</xdr:colOff>
      <xdr:row>378</xdr:row>
      <xdr:rowOff>0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78D9FA23-5E06-46F9-98F0-54AE773F22D1}"/>
            </a:ext>
          </a:extLst>
        </xdr:cNvPr>
        <xdr:cNvSpPr txBox="1">
          <a:spLocks noChangeArrowheads="1"/>
        </xdr:cNvSpPr>
      </xdr:nvSpPr>
      <xdr:spPr bwMode="auto">
        <a:xfrm>
          <a:off x="963083" y="7754365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413</xdr:row>
      <xdr:rowOff>132925</xdr:rowOff>
    </xdr:from>
    <xdr:ext cx="811107" cy="720515"/>
    <xdr:pic>
      <xdr:nvPicPr>
        <xdr:cNvPr id="38" name="33 Imagen">
          <a:extLst>
            <a:ext uri="{FF2B5EF4-FFF2-40B4-BE49-F238E27FC236}">
              <a16:creationId xmlns:a16="http://schemas.microsoft.com/office/drawing/2014/main" xmlns="" id="{310A75F5-9F37-4DC5-9762-133956B21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852788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413</xdr:row>
      <xdr:rowOff>152822</xdr:rowOff>
    </xdr:from>
    <xdr:ext cx="800101" cy="708237"/>
    <xdr:pic>
      <xdr:nvPicPr>
        <xdr:cNvPr id="39" name="34 Imagen">
          <a:extLst>
            <a:ext uri="{FF2B5EF4-FFF2-40B4-BE49-F238E27FC236}">
              <a16:creationId xmlns:a16="http://schemas.microsoft.com/office/drawing/2014/main" xmlns="" id="{7993C5AE-B273-452B-9237-A74B16D374F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852987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413</xdr:row>
      <xdr:rowOff>63499</xdr:rowOff>
    </xdr:from>
    <xdr:to>
      <xdr:col>3</xdr:col>
      <xdr:colOff>74083</xdr:colOff>
      <xdr:row>416</xdr:row>
      <xdr:rowOff>0</xdr:rowOff>
    </xdr:to>
    <xdr:sp macro="" textlink="">
      <xdr:nvSpPr>
        <xdr:cNvPr id="40" name="Cuadro de texto 134">
          <a:extLst>
            <a:ext uri="{FF2B5EF4-FFF2-40B4-BE49-F238E27FC236}">
              <a16:creationId xmlns:a16="http://schemas.microsoft.com/office/drawing/2014/main" xmlns="" id="{E8D234EE-C0E8-4B01-9A6D-D9D08ED6131C}"/>
            </a:ext>
          </a:extLst>
        </xdr:cNvPr>
        <xdr:cNvSpPr txBox="1">
          <a:spLocks noChangeArrowheads="1"/>
        </xdr:cNvSpPr>
      </xdr:nvSpPr>
      <xdr:spPr bwMode="auto">
        <a:xfrm>
          <a:off x="963083" y="852093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445</xdr:row>
      <xdr:rowOff>132925</xdr:rowOff>
    </xdr:from>
    <xdr:ext cx="811107" cy="720515"/>
    <xdr:pic>
      <xdr:nvPicPr>
        <xdr:cNvPr id="41" name="33 Imagen">
          <a:extLst>
            <a:ext uri="{FF2B5EF4-FFF2-40B4-BE49-F238E27FC236}">
              <a16:creationId xmlns:a16="http://schemas.microsoft.com/office/drawing/2014/main" xmlns="" id="{179A97E7-5E37-468B-A7FC-BC612819CA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9184724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445</xdr:row>
      <xdr:rowOff>152822</xdr:rowOff>
    </xdr:from>
    <xdr:ext cx="800101" cy="708237"/>
    <xdr:pic>
      <xdr:nvPicPr>
        <xdr:cNvPr id="42" name="34 Imagen">
          <a:extLst>
            <a:ext uri="{FF2B5EF4-FFF2-40B4-BE49-F238E27FC236}">
              <a16:creationId xmlns:a16="http://schemas.microsoft.com/office/drawing/2014/main" xmlns="" id="{38A747C9-9E67-45CC-AA0B-34EF855AFC3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186714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445</xdr:row>
      <xdr:rowOff>63499</xdr:rowOff>
    </xdr:from>
    <xdr:to>
      <xdr:col>3</xdr:col>
      <xdr:colOff>74083</xdr:colOff>
      <xdr:row>448</xdr:row>
      <xdr:rowOff>0</xdr:rowOff>
    </xdr:to>
    <xdr:sp macro="" textlink="">
      <xdr:nvSpPr>
        <xdr:cNvPr id="43" name="Cuadro de texto 134">
          <a:extLst>
            <a:ext uri="{FF2B5EF4-FFF2-40B4-BE49-F238E27FC236}">
              <a16:creationId xmlns:a16="http://schemas.microsoft.com/office/drawing/2014/main" xmlns="" id="{05DC2719-6E0D-45A2-92A8-4B16BDD1D77C}"/>
            </a:ext>
          </a:extLst>
        </xdr:cNvPr>
        <xdr:cNvSpPr txBox="1">
          <a:spLocks noChangeArrowheads="1"/>
        </xdr:cNvSpPr>
      </xdr:nvSpPr>
      <xdr:spPr bwMode="auto">
        <a:xfrm>
          <a:off x="963083" y="9177781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483</xdr:row>
      <xdr:rowOff>132925</xdr:rowOff>
    </xdr:from>
    <xdr:ext cx="811107" cy="720515"/>
    <xdr:pic>
      <xdr:nvPicPr>
        <xdr:cNvPr id="44" name="33 Imagen">
          <a:extLst>
            <a:ext uri="{FF2B5EF4-FFF2-40B4-BE49-F238E27FC236}">
              <a16:creationId xmlns:a16="http://schemas.microsoft.com/office/drawing/2014/main" xmlns="" id="{A9D6A14B-FDFC-42F0-BAE9-28B59BA20B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9951296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483</xdr:row>
      <xdr:rowOff>152822</xdr:rowOff>
    </xdr:from>
    <xdr:ext cx="800101" cy="708237"/>
    <xdr:pic>
      <xdr:nvPicPr>
        <xdr:cNvPr id="45" name="34 Imagen">
          <a:extLst>
            <a:ext uri="{FF2B5EF4-FFF2-40B4-BE49-F238E27FC236}">
              <a16:creationId xmlns:a16="http://schemas.microsoft.com/office/drawing/2014/main" xmlns="" id="{37EB0A23-DE5D-48DE-B5AA-85A5AEC51F1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953286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483</xdr:row>
      <xdr:rowOff>63499</xdr:rowOff>
    </xdr:from>
    <xdr:to>
      <xdr:col>3</xdr:col>
      <xdr:colOff>74083</xdr:colOff>
      <xdr:row>486</xdr:row>
      <xdr:rowOff>0</xdr:rowOff>
    </xdr:to>
    <xdr:sp macro="" textlink="">
      <xdr:nvSpPr>
        <xdr:cNvPr id="46" name="Cuadro de texto 134">
          <a:extLst>
            <a:ext uri="{FF2B5EF4-FFF2-40B4-BE49-F238E27FC236}">
              <a16:creationId xmlns:a16="http://schemas.microsoft.com/office/drawing/2014/main" xmlns="" id="{2CB4B9F6-F084-419E-9A9A-2C5E1DA6C5BB}"/>
            </a:ext>
          </a:extLst>
        </xdr:cNvPr>
        <xdr:cNvSpPr txBox="1">
          <a:spLocks noChangeArrowheads="1"/>
        </xdr:cNvSpPr>
      </xdr:nvSpPr>
      <xdr:spPr bwMode="auto">
        <a:xfrm>
          <a:off x="963083" y="9944353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515</xdr:row>
      <xdr:rowOff>132925</xdr:rowOff>
    </xdr:from>
    <xdr:ext cx="811107" cy="720515"/>
    <xdr:pic>
      <xdr:nvPicPr>
        <xdr:cNvPr id="47" name="33 Imagen">
          <a:extLst>
            <a:ext uri="{FF2B5EF4-FFF2-40B4-BE49-F238E27FC236}">
              <a16:creationId xmlns:a16="http://schemas.microsoft.com/office/drawing/2014/main" xmlns="" id="{B32AF47C-A463-4197-97A9-95C3148669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0608140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515</xdr:row>
      <xdr:rowOff>152822</xdr:rowOff>
    </xdr:from>
    <xdr:ext cx="800101" cy="708237"/>
    <xdr:pic>
      <xdr:nvPicPr>
        <xdr:cNvPr id="48" name="34 Imagen">
          <a:extLst>
            <a:ext uri="{FF2B5EF4-FFF2-40B4-BE49-F238E27FC236}">
              <a16:creationId xmlns:a16="http://schemas.microsoft.com/office/drawing/2014/main" xmlns="" id="{62A0841F-6901-480A-BB0B-61DF7CA332A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0610130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515</xdr:row>
      <xdr:rowOff>63499</xdr:rowOff>
    </xdr:from>
    <xdr:to>
      <xdr:col>3</xdr:col>
      <xdr:colOff>74083</xdr:colOff>
      <xdr:row>518</xdr:row>
      <xdr:rowOff>0</xdr:rowOff>
    </xdr:to>
    <xdr:sp macro="" textlink="">
      <xdr:nvSpPr>
        <xdr:cNvPr id="49" name="Cuadro de texto 134">
          <a:extLst>
            <a:ext uri="{FF2B5EF4-FFF2-40B4-BE49-F238E27FC236}">
              <a16:creationId xmlns:a16="http://schemas.microsoft.com/office/drawing/2014/main" xmlns="" id="{A474F9AE-6F61-4B40-B4F7-F9FFC769E227}"/>
            </a:ext>
          </a:extLst>
        </xdr:cNvPr>
        <xdr:cNvSpPr txBox="1">
          <a:spLocks noChangeArrowheads="1"/>
        </xdr:cNvSpPr>
      </xdr:nvSpPr>
      <xdr:spPr bwMode="auto">
        <a:xfrm>
          <a:off x="963083" y="10601197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553</xdr:row>
      <xdr:rowOff>132925</xdr:rowOff>
    </xdr:from>
    <xdr:ext cx="811107" cy="720515"/>
    <xdr:pic>
      <xdr:nvPicPr>
        <xdr:cNvPr id="50" name="33 Imagen">
          <a:extLst>
            <a:ext uri="{FF2B5EF4-FFF2-40B4-BE49-F238E27FC236}">
              <a16:creationId xmlns:a16="http://schemas.microsoft.com/office/drawing/2014/main" xmlns="" id="{AF45E83C-A7D9-4AB4-A2C2-AE1E331682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1374712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553</xdr:row>
      <xdr:rowOff>152822</xdr:rowOff>
    </xdr:from>
    <xdr:ext cx="800101" cy="708237"/>
    <xdr:pic>
      <xdr:nvPicPr>
        <xdr:cNvPr id="51" name="34 Imagen">
          <a:extLst>
            <a:ext uri="{FF2B5EF4-FFF2-40B4-BE49-F238E27FC236}">
              <a16:creationId xmlns:a16="http://schemas.microsoft.com/office/drawing/2014/main" xmlns="" id="{06B5D3B7-A906-40D8-8D73-1AEF066E797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1376702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553</xdr:row>
      <xdr:rowOff>63499</xdr:rowOff>
    </xdr:from>
    <xdr:to>
      <xdr:col>3</xdr:col>
      <xdr:colOff>74083</xdr:colOff>
      <xdr:row>556</xdr:row>
      <xdr:rowOff>0</xdr:rowOff>
    </xdr:to>
    <xdr:sp macro="" textlink="">
      <xdr:nvSpPr>
        <xdr:cNvPr id="52" name="Cuadro de texto 134">
          <a:extLst>
            <a:ext uri="{FF2B5EF4-FFF2-40B4-BE49-F238E27FC236}">
              <a16:creationId xmlns:a16="http://schemas.microsoft.com/office/drawing/2014/main" xmlns="" id="{04EE15F0-13D2-42B2-BCDA-F525D8CAC798}"/>
            </a:ext>
          </a:extLst>
        </xdr:cNvPr>
        <xdr:cNvSpPr txBox="1">
          <a:spLocks noChangeArrowheads="1"/>
        </xdr:cNvSpPr>
      </xdr:nvSpPr>
      <xdr:spPr bwMode="auto">
        <a:xfrm>
          <a:off x="963083" y="11367769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133773</xdr:colOff>
      <xdr:row>585</xdr:row>
      <xdr:rowOff>132925</xdr:rowOff>
    </xdr:from>
    <xdr:ext cx="811107" cy="720515"/>
    <xdr:pic>
      <xdr:nvPicPr>
        <xdr:cNvPr id="53" name="33 Imagen">
          <a:extLst>
            <a:ext uri="{FF2B5EF4-FFF2-40B4-BE49-F238E27FC236}">
              <a16:creationId xmlns:a16="http://schemas.microsoft.com/office/drawing/2014/main" xmlns="" id="{AB252866-5E21-412F-99F9-50FB345FC2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73" y="120315565"/>
          <a:ext cx="811107" cy="720515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1036320</xdr:colOff>
      <xdr:row>585</xdr:row>
      <xdr:rowOff>152822</xdr:rowOff>
    </xdr:from>
    <xdr:ext cx="800101" cy="708237"/>
    <xdr:pic>
      <xdr:nvPicPr>
        <xdr:cNvPr id="54" name="34 Imagen">
          <a:extLst>
            <a:ext uri="{FF2B5EF4-FFF2-40B4-BE49-F238E27FC236}">
              <a16:creationId xmlns:a16="http://schemas.microsoft.com/office/drawing/2014/main" xmlns="" id="{5FD3C508-3CD1-4EDD-8B19-ED78F09282E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0335462"/>
          <a:ext cx="800101" cy="708237"/>
        </a:xfrm>
        <a:prstGeom prst="rect">
          <a:avLst/>
        </a:prstGeom>
        <a:noFill/>
      </xdr:spPr>
    </xdr:pic>
    <xdr:clientData/>
  </xdr:oneCellAnchor>
  <xdr:twoCellAnchor>
    <xdr:from>
      <xdr:col>0</xdr:col>
      <xdr:colOff>963083</xdr:colOff>
      <xdr:row>585</xdr:row>
      <xdr:rowOff>63499</xdr:rowOff>
    </xdr:from>
    <xdr:to>
      <xdr:col>3</xdr:col>
      <xdr:colOff>74083</xdr:colOff>
      <xdr:row>588</xdr:row>
      <xdr:rowOff>0</xdr:rowOff>
    </xdr:to>
    <xdr:sp macro="" textlink="">
      <xdr:nvSpPr>
        <xdr:cNvPr id="55" name="Cuadro de texto 134">
          <a:extLst>
            <a:ext uri="{FF2B5EF4-FFF2-40B4-BE49-F238E27FC236}">
              <a16:creationId xmlns:a16="http://schemas.microsoft.com/office/drawing/2014/main" xmlns="" id="{CB2DE1EC-40B3-4870-8D94-A607DDD9A407}"/>
            </a:ext>
          </a:extLst>
        </xdr:cNvPr>
        <xdr:cNvSpPr txBox="1">
          <a:spLocks noChangeArrowheads="1"/>
        </xdr:cNvSpPr>
      </xdr:nvSpPr>
      <xdr:spPr bwMode="auto">
        <a:xfrm>
          <a:off x="963083" y="120246139"/>
          <a:ext cx="4635500" cy="492761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52917</xdr:colOff>
      <xdr:row>2</xdr:row>
      <xdr:rowOff>158749</xdr:rowOff>
    </xdr:from>
    <xdr:ext cx="529166" cy="687917"/>
    <xdr:pic>
      <xdr:nvPicPr>
        <xdr:cNvPr id="58" name="57 Imagen">
          <a:extLst>
            <a:ext uri="{FF2B5EF4-FFF2-40B4-BE49-F238E27FC236}">
              <a16:creationId xmlns:a16="http://schemas.microsoft.com/office/drawing/2014/main" xmlns="" id="{00000000-0008-0000-03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13135832"/>
          <a:ext cx="529166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2</xdr:row>
      <xdr:rowOff>148166</xdr:rowOff>
    </xdr:from>
    <xdr:ext cx="529167" cy="677334"/>
    <xdr:pic>
      <xdr:nvPicPr>
        <xdr:cNvPr id="59" name="58 Imagen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131252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</xdr:row>
      <xdr:rowOff>105833</xdr:rowOff>
    </xdr:from>
    <xdr:ext cx="1164167" cy="762000"/>
    <xdr:pic>
      <xdr:nvPicPr>
        <xdr:cNvPr id="60" name="59 Imagen" descr="D:\José Luis Gavidia\Logo\logo.jpg">
          <a:extLst>
            <a:ext uri="{FF2B5EF4-FFF2-40B4-BE49-F238E27FC236}">
              <a16:creationId xmlns:a16="http://schemas.microsoft.com/office/drawing/2014/main" xmlns="" id="{00000000-0008-0000-0300-00003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130829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</xdr:row>
      <xdr:rowOff>63499</xdr:rowOff>
    </xdr:from>
    <xdr:to>
      <xdr:col>3</xdr:col>
      <xdr:colOff>74083</xdr:colOff>
      <xdr:row>6</xdr:row>
      <xdr:rowOff>88687</xdr:rowOff>
    </xdr:to>
    <xdr:sp macro="" textlink="">
      <xdr:nvSpPr>
        <xdr:cNvPr id="61" name="Cuadro de texto 134">
          <a:extLst>
            <a:ext uri="{FF2B5EF4-FFF2-40B4-BE49-F238E27FC236}">
              <a16:creationId xmlns:a16="http://schemas.microsoft.com/office/drawing/2014/main" xmlns="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963083" y="113040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54</xdr:row>
      <xdr:rowOff>158749</xdr:rowOff>
    </xdr:from>
    <xdr:ext cx="529166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550332"/>
          <a:ext cx="529166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54</xdr:row>
      <xdr:rowOff>148166</xdr:rowOff>
    </xdr:from>
    <xdr:ext cx="5291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5397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54</xdr:row>
      <xdr:rowOff>105833</xdr:rowOff>
    </xdr:from>
    <xdr:ext cx="1164167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497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54</xdr:row>
      <xdr:rowOff>63499</xdr:rowOff>
    </xdr:from>
    <xdr:to>
      <xdr:col>3</xdr:col>
      <xdr:colOff>74083</xdr:colOff>
      <xdr:row>58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455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104</xdr:row>
      <xdr:rowOff>158749</xdr:rowOff>
    </xdr:from>
    <xdr:ext cx="529166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1345332"/>
          <a:ext cx="529166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104</xdr:row>
      <xdr:rowOff>148166</xdr:rowOff>
    </xdr:from>
    <xdr:ext cx="5291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13347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104</xdr:row>
      <xdr:rowOff>105833</xdr:rowOff>
    </xdr:from>
    <xdr:ext cx="1164167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1292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25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154</xdr:row>
      <xdr:rowOff>158749</xdr:rowOff>
    </xdr:from>
    <xdr:ext cx="529166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21759332"/>
          <a:ext cx="529166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154</xdr:row>
      <xdr:rowOff>148166</xdr:rowOff>
    </xdr:from>
    <xdr:ext cx="5291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217487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154</xdr:row>
      <xdr:rowOff>105833</xdr:rowOff>
    </xdr:from>
    <xdr:ext cx="1164167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21706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664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204</xdr:row>
      <xdr:rowOff>158749</xdr:rowOff>
    </xdr:from>
    <xdr:ext cx="529166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32173332"/>
          <a:ext cx="529166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204</xdr:row>
      <xdr:rowOff>148166</xdr:rowOff>
    </xdr:from>
    <xdr:ext cx="5291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321627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204</xdr:row>
      <xdr:rowOff>105833</xdr:rowOff>
    </xdr:from>
    <xdr:ext cx="1164167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32120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2078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254</xdr:row>
      <xdr:rowOff>158749</xdr:rowOff>
    </xdr:from>
    <xdr:ext cx="529166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42587332"/>
          <a:ext cx="529166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254</xdr:row>
      <xdr:rowOff>148166</xdr:rowOff>
    </xdr:from>
    <xdr:ext cx="5291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425767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254</xdr:row>
      <xdr:rowOff>105833</xdr:rowOff>
    </xdr:from>
    <xdr:ext cx="1164167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3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42534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492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304</xdr:row>
      <xdr:rowOff>158749</xdr:rowOff>
    </xdr:from>
    <xdr:ext cx="529166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53001332"/>
          <a:ext cx="529166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304</xdr:row>
      <xdr:rowOff>148166</xdr:rowOff>
    </xdr:from>
    <xdr:ext cx="5291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3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529907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304</xdr:row>
      <xdr:rowOff>105833</xdr:rowOff>
    </xdr:from>
    <xdr:ext cx="1164167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3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52948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906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354</xdr:row>
      <xdr:rowOff>158749</xdr:rowOff>
    </xdr:from>
    <xdr:ext cx="529166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63415332"/>
          <a:ext cx="529166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354</xdr:row>
      <xdr:rowOff>148166</xdr:rowOff>
    </xdr:from>
    <xdr:ext cx="5291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634047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354</xdr:row>
      <xdr:rowOff>105833</xdr:rowOff>
    </xdr:from>
    <xdr:ext cx="1164167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3362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52917</xdr:colOff>
      <xdr:row>404</xdr:row>
      <xdr:rowOff>158749</xdr:rowOff>
    </xdr:from>
    <xdr:ext cx="529166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63415332"/>
          <a:ext cx="529166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635000</xdr:colOff>
      <xdr:row>404</xdr:row>
      <xdr:rowOff>148166</xdr:rowOff>
    </xdr:from>
    <xdr:ext cx="5291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63404749"/>
          <a:ext cx="5291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404</xdr:row>
      <xdr:rowOff>105833</xdr:rowOff>
    </xdr:from>
    <xdr:ext cx="1164167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3362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42333</xdr:colOff>
      <xdr:row>2</xdr:row>
      <xdr:rowOff>148165</xdr:rowOff>
    </xdr:from>
    <xdr:ext cx="582083" cy="687917"/>
    <xdr:pic>
      <xdr:nvPicPr>
        <xdr:cNvPr id="58" name="57 Imagen">
          <a:extLst>
            <a:ext uri="{FF2B5EF4-FFF2-40B4-BE49-F238E27FC236}">
              <a16:creationId xmlns:a16="http://schemas.microsoft.com/office/drawing/2014/main" xmlns="" id="{00000000-0008-0000-04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11312524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635001</xdr:colOff>
      <xdr:row>2</xdr:row>
      <xdr:rowOff>137583</xdr:rowOff>
    </xdr:from>
    <xdr:ext cx="508000" cy="677334"/>
    <xdr:pic>
      <xdr:nvPicPr>
        <xdr:cNvPr id="59" name="58 Imagen">
          <a:extLst>
            <a:ext uri="{FF2B5EF4-FFF2-40B4-BE49-F238E27FC236}">
              <a16:creationId xmlns:a16="http://schemas.microsoft.com/office/drawing/2014/main" xmlns="" id="{00000000-0008-0000-0400-00003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113114666"/>
          <a:ext cx="5080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2</xdr:row>
      <xdr:rowOff>105833</xdr:rowOff>
    </xdr:from>
    <xdr:ext cx="1153583" cy="762000"/>
    <xdr:pic>
      <xdr:nvPicPr>
        <xdr:cNvPr id="60" name="59 Imagen" descr="D:\José Luis Gavidia\Logo\logo.jpg">
          <a:extLst>
            <a:ext uri="{FF2B5EF4-FFF2-40B4-BE49-F238E27FC236}">
              <a16:creationId xmlns:a16="http://schemas.microsoft.com/office/drawing/2014/main" xmlns="" id="{00000000-0008-0000-0400-00003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1130829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</xdr:row>
      <xdr:rowOff>63499</xdr:rowOff>
    </xdr:from>
    <xdr:to>
      <xdr:col>3</xdr:col>
      <xdr:colOff>74083</xdr:colOff>
      <xdr:row>6</xdr:row>
      <xdr:rowOff>88687</xdr:rowOff>
    </xdr:to>
    <xdr:sp macro="" textlink="">
      <xdr:nvSpPr>
        <xdr:cNvPr id="61" name="Cuadro de texto 134">
          <a:extLst>
            <a:ext uri="{FF2B5EF4-FFF2-40B4-BE49-F238E27FC236}">
              <a16:creationId xmlns:a16="http://schemas.microsoft.com/office/drawing/2014/main" xmlns="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963083" y="113040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54</xdr:row>
      <xdr:rowOff>148165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53974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635001</xdr:colOff>
      <xdr:row>54</xdr:row>
      <xdr:rowOff>137583</xdr:rowOff>
    </xdr:from>
    <xdr:ext cx="508000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529166"/>
          <a:ext cx="5080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54</xdr:row>
      <xdr:rowOff>105833</xdr:rowOff>
    </xdr:from>
    <xdr:ext cx="115358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4974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54</xdr:row>
      <xdr:rowOff>63499</xdr:rowOff>
    </xdr:from>
    <xdr:to>
      <xdr:col>3</xdr:col>
      <xdr:colOff>74083</xdr:colOff>
      <xdr:row>58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455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104</xdr:row>
      <xdr:rowOff>148165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1133474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635001</xdr:colOff>
      <xdr:row>104</xdr:row>
      <xdr:rowOff>137583</xdr:rowOff>
    </xdr:from>
    <xdr:ext cx="508000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11324166"/>
          <a:ext cx="5080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104</xdr:row>
      <xdr:rowOff>105833</xdr:rowOff>
    </xdr:from>
    <xdr:ext cx="115358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112924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25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154</xdr:row>
      <xdr:rowOff>148165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2174874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635001</xdr:colOff>
      <xdr:row>154</xdr:row>
      <xdr:rowOff>137583</xdr:rowOff>
    </xdr:from>
    <xdr:ext cx="508000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21738166"/>
          <a:ext cx="5080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154</xdr:row>
      <xdr:rowOff>105833</xdr:rowOff>
    </xdr:from>
    <xdr:ext cx="115358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217064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664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204</xdr:row>
      <xdr:rowOff>148165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3216274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635001</xdr:colOff>
      <xdr:row>204</xdr:row>
      <xdr:rowOff>137583</xdr:rowOff>
    </xdr:from>
    <xdr:ext cx="508000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32152166"/>
          <a:ext cx="5080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204</xdr:row>
      <xdr:rowOff>105833</xdr:rowOff>
    </xdr:from>
    <xdr:ext cx="115358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321204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2078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254</xdr:row>
      <xdr:rowOff>148165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4257674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635001</xdr:colOff>
      <xdr:row>254</xdr:row>
      <xdr:rowOff>137583</xdr:rowOff>
    </xdr:from>
    <xdr:ext cx="508000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42566166"/>
          <a:ext cx="5080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254</xdr:row>
      <xdr:rowOff>105833</xdr:rowOff>
    </xdr:from>
    <xdr:ext cx="115358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425344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492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304</xdr:row>
      <xdr:rowOff>148165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5299074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635001</xdr:colOff>
      <xdr:row>304</xdr:row>
      <xdr:rowOff>137583</xdr:rowOff>
    </xdr:from>
    <xdr:ext cx="508000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52980166"/>
          <a:ext cx="5080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304</xdr:row>
      <xdr:rowOff>105833</xdr:rowOff>
    </xdr:from>
    <xdr:ext cx="115358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529484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906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354</xdr:row>
      <xdr:rowOff>148165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6340474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635001</xdr:colOff>
      <xdr:row>354</xdr:row>
      <xdr:rowOff>137583</xdr:rowOff>
    </xdr:from>
    <xdr:ext cx="508000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63394166"/>
          <a:ext cx="5080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354</xdr:row>
      <xdr:rowOff>105833</xdr:rowOff>
    </xdr:from>
    <xdr:ext cx="115358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633624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42333</xdr:colOff>
      <xdr:row>404</xdr:row>
      <xdr:rowOff>148165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6340474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635001</xdr:colOff>
      <xdr:row>404</xdr:row>
      <xdr:rowOff>137583</xdr:rowOff>
    </xdr:from>
    <xdr:ext cx="508000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1" y="63394166"/>
          <a:ext cx="508000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1100667</xdr:colOff>
      <xdr:row>404</xdr:row>
      <xdr:rowOff>105833</xdr:rowOff>
    </xdr:from>
    <xdr:ext cx="115358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31417" y="63362416"/>
          <a:ext cx="115358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105833</xdr:colOff>
      <xdr:row>2</xdr:row>
      <xdr:rowOff>158749</xdr:rowOff>
    </xdr:from>
    <xdr:ext cx="582083" cy="687917"/>
    <xdr:pic>
      <xdr:nvPicPr>
        <xdr:cNvPr id="54" name="53 Imagen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112754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2</xdr:row>
      <xdr:rowOff>137583</xdr:rowOff>
    </xdr:from>
    <xdr:ext cx="592667" cy="677334"/>
    <xdr:pic>
      <xdr:nvPicPr>
        <xdr:cNvPr id="55" name="54 Imagen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273366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</xdr:row>
      <xdr:rowOff>105833</xdr:rowOff>
    </xdr:from>
    <xdr:ext cx="1164167" cy="762000"/>
    <xdr:pic>
      <xdr:nvPicPr>
        <xdr:cNvPr id="56" name="55 Imagen" descr="D:\José Luis Gavidia\Logo\logo.jpg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127019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</xdr:row>
      <xdr:rowOff>63499</xdr:rowOff>
    </xdr:from>
    <xdr:to>
      <xdr:col>3</xdr:col>
      <xdr:colOff>74083</xdr:colOff>
      <xdr:row>6</xdr:row>
      <xdr:rowOff>88687</xdr:rowOff>
    </xdr:to>
    <xdr:sp macro="" textlink="">
      <xdr:nvSpPr>
        <xdr:cNvPr id="57" name="Cuadro de texto 134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963083" y="112659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105833</xdr:colOff>
      <xdr:row>51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550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51</xdr:row>
      <xdr:rowOff>137583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29166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51</xdr:row>
      <xdr:rowOff>105833</xdr:rowOff>
    </xdr:from>
    <xdr:ext cx="1164167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497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51</xdr:row>
      <xdr:rowOff>63499</xdr:rowOff>
    </xdr:from>
    <xdr:to>
      <xdr:col>3</xdr:col>
      <xdr:colOff>74083</xdr:colOff>
      <xdr:row>55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455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105833</xdr:colOff>
      <xdr:row>104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1085849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104</xdr:row>
      <xdr:rowOff>137583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0837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104</xdr:row>
      <xdr:rowOff>105833</xdr:rowOff>
    </xdr:from>
    <xdr:ext cx="1164167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0805583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0763249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105833</xdr:colOff>
      <xdr:row>154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2171699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154</xdr:row>
      <xdr:rowOff>137583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16958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154</xdr:row>
      <xdr:rowOff>105833</xdr:rowOff>
    </xdr:from>
    <xdr:ext cx="1164167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21664083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621749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105833</xdr:colOff>
      <xdr:row>204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3200399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204</xdr:row>
      <xdr:rowOff>137583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19828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204</xdr:row>
      <xdr:rowOff>105833</xdr:rowOff>
    </xdr:from>
    <xdr:ext cx="1164167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31951083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1908749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105833</xdr:colOff>
      <xdr:row>254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4229099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254</xdr:row>
      <xdr:rowOff>137583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698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254</xdr:row>
      <xdr:rowOff>105833</xdr:rowOff>
    </xdr:from>
    <xdr:ext cx="1164167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42238083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195749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105833</xdr:colOff>
      <xdr:row>304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5257799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304</xdr:row>
      <xdr:rowOff>137583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25568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304</xdr:row>
      <xdr:rowOff>105833</xdr:rowOff>
    </xdr:from>
    <xdr:ext cx="1164167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52525083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482749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105833</xdr:colOff>
      <xdr:row>354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6286499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354</xdr:row>
      <xdr:rowOff>137583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628438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354</xdr:row>
      <xdr:rowOff>105833</xdr:rowOff>
    </xdr:from>
    <xdr:ext cx="1164167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2812083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2769749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105833</xdr:colOff>
      <xdr:row>404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6286499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404</xdr:row>
      <xdr:rowOff>137583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628438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404</xdr:row>
      <xdr:rowOff>105833</xdr:rowOff>
    </xdr:from>
    <xdr:ext cx="1164167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2812083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2769749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105833</xdr:colOff>
      <xdr:row>454</xdr:row>
      <xdr:rowOff>158749</xdr:rowOff>
    </xdr:from>
    <xdr:ext cx="582083" cy="687917"/>
    <xdr:pic>
      <xdr:nvPicPr>
        <xdr:cNvPr id="38" name="37 Imagen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" y="83438999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666750</xdr:colOff>
      <xdr:row>454</xdr:row>
      <xdr:rowOff>137583</xdr:rowOff>
    </xdr:from>
    <xdr:ext cx="592667" cy="677334"/>
    <xdr:pic>
      <xdr:nvPicPr>
        <xdr:cNvPr id="39" name="38 Imagen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34178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454</xdr:row>
      <xdr:rowOff>105833</xdr:rowOff>
    </xdr:from>
    <xdr:ext cx="1164167" cy="762000"/>
    <xdr:pic>
      <xdr:nvPicPr>
        <xdr:cNvPr id="40" name="39 Imagen" descr="D:\José Luis Gavidia\Logo\logo.jpg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83386083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454</xdr:row>
      <xdr:rowOff>63499</xdr:rowOff>
    </xdr:from>
    <xdr:to>
      <xdr:col>3</xdr:col>
      <xdr:colOff>74083</xdr:colOff>
      <xdr:row>458</xdr:row>
      <xdr:rowOff>88687</xdr:rowOff>
    </xdr:to>
    <xdr:sp macro="" textlink="">
      <xdr:nvSpPr>
        <xdr:cNvPr id="41" name="Cuadro de texto 134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963083" y="83343749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      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1</xdr:row>
      <xdr:rowOff>137582</xdr:rowOff>
    </xdr:from>
    <xdr:ext cx="582083" cy="687917"/>
    <xdr:pic>
      <xdr:nvPicPr>
        <xdr:cNvPr id="54" name="53 Imagen">
          <a:extLst>
            <a:ext uri="{FF2B5EF4-FFF2-40B4-BE49-F238E27FC236}">
              <a16:creationId xmlns:a16="http://schemas.microsoft.com/office/drawing/2014/main" xmlns="" id="{00000000-0008-0000-07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1406716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603250</xdr:colOff>
      <xdr:row>1</xdr:row>
      <xdr:rowOff>148166</xdr:rowOff>
    </xdr:from>
    <xdr:ext cx="592667" cy="677334"/>
    <xdr:pic>
      <xdr:nvPicPr>
        <xdr:cNvPr id="55" name="54 Imagen">
          <a:extLst>
            <a:ext uri="{FF2B5EF4-FFF2-40B4-BE49-F238E27FC236}">
              <a16:creationId xmlns:a16="http://schemas.microsoft.com/office/drawing/2014/main" xmlns="" id="{00000000-0008-0000-07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114077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</xdr:row>
      <xdr:rowOff>105833</xdr:rowOff>
    </xdr:from>
    <xdr:ext cx="1164167" cy="762000"/>
    <xdr:pic>
      <xdr:nvPicPr>
        <xdr:cNvPr id="56" name="55 Imagen" descr="D:\José Luis Gavidia\Logo\logo.jpg">
          <a:extLst>
            <a:ext uri="{FF2B5EF4-FFF2-40B4-BE49-F238E27FC236}">
              <a16:creationId xmlns:a16="http://schemas.microsoft.com/office/drawing/2014/main" xmlns="" id="{00000000-0008-0000-0700-00003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14035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57" name="Cuadro de texto 134">
          <a:extLst>
            <a:ext uri="{FF2B5EF4-FFF2-40B4-BE49-F238E27FC236}">
              <a16:creationId xmlns:a16="http://schemas.microsoft.com/office/drawing/2014/main" xmlns="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963083" y="113993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63500</xdr:colOff>
      <xdr:row>54</xdr:row>
      <xdr:rowOff>137582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3866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603250</xdr:colOff>
      <xdr:row>54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349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54</xdr:row>
      <xdr:rowOff>105833</xdr:rowOff>
    </xdr:from>
    <xdr:ext cx="1164167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3069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54</xdr:row>
      <xdr:rowOff>63499</xdr:rowOff>
    </xdr:from>
    <xdr:to>
      <xdr:col>3</xdr:col>
      <xdr:colOff>74083</xdr:colOff>
      <xdr:row>58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63500</xdr:colOff>
      <xdr:row>104</xdr:row>
      <xdr:rowOff>137582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132416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603250</xdr:colOff>
      <xdr:row>104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1133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104</xdr:row>
      <xdr:rowOff>105833</xdr:rowOff>
    </xdr:from>
    <xdr:ext cx="1164167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11292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25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63500</xdr:colOff>
      <xdr:row>154</xdr:row>
      <xdr:rowOff>137582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173816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603250</xdr:colOff>
      <xdr:row>154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21748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154</xdr:row>
      <xdr:rowOff>105833</xdr:rowOff>
    </xdr:from>
    <xdr:ext cx="1164167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21706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664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63500</xdr:colOff>
      <xdr:row>204</xdr:row>
      <xdr:rowOff>137582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215216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603250</xdr:colOff>
      <xdr:row>204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3216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204</xdr:row>
      <xdr:rowOff>105833</xdr:rowOff>
    </xdr:from>
    <xdr:ext cx="1164167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32120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2078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63500</xdr:colOff>
      <xdr:row>254</xdr:row>
      <xdr:rowOff>137582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4256616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603250</xdr:colOff>
      <xdr:row>254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42576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254</xdr:row>
      <xdr:rowOff>105833</xdr:rowOff>
    </xdr:from>
    <xdr:ext cx="1164167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42534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492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63500</xdr:colOff>
      <xdr:row>304</xdr:row>
      <xdr:rowOff>137582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5298016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603250</xdr:colOff>
      <xdr:row>304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52990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304</xdr:row>
      <xdr:rowOff>105833</xdr:rowOff>
    </xdr:from>
    <xdr:ext cx="1164167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7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52948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906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63500</xdr:colOff>
      <xdr:row>354</xdr:row>
      <xdr:rowOff>137582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6339416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603250</xdr:colOff>
      <xdr:row>354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6340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354</xdr:row>
      <xdr:rowOff>105833</xdr:rowOff>
    </xdr:from>
    <xdr:ext cx="1164167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7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3362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63500</xdr:colOff>
      <xdr:row>404</xdr:row>
      <xdr:rowOff>137582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63394165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603250</xdr:colOff>
      <xdr:row>404</xdr:row>
      <xdr:rowOff>148166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7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" y="6340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1090083</xdr:colOff>
      <xdr:row>404</xdr:row>
      <xdr:rowOff>105833</xdr:rowOff>
    </xdr:from>
    <xdr:ext cx="1164167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820833" y="63362416"/>
          <a:ext cx="1164167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158749</xdr:rowOff>
    </xdr:from>
    <xdr:ext cx="582083" cy="687917"/>
    <xdr:pic>
      <xdr:nvPicPr>
        <xdr:cNvPr id="58" name="57 Imagen">
          <a:extLst>
            <a:ext uri="{FF2B5EF4-FFF2-40B4-BE49-F238E27FC236}">
              <a16:creationId xmlns:a16="http://schemas.microsoft.com/office/drawing/2014/main" xmlns="" id="{00000000-0008-0000-08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135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</xdr:row>
      <xdr:rowOff>148166</xdr:rowOff>
    </xdr:from>
    <xdr:ext cx="592667" cy="677334"/>
    <xdr:pic>
      <xdr:nvPicPr>
        <xdr:cNvPr id="59" name="58 Imagen">
          <a:extLst>
            <a:ext uri="{FF2B5EF4-FFF2-40B4-BE49-F238E27FC236}">
              <a16:creationId xmlns:a16="http://schemas.microsoft.com/office/drawing/2014/main" xmlns="" id="{00000000-0008-0000-0800-00003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3125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</xdr:row>
      <xdr:rowOff>105833</xdr:rowOff>
    </xdr:from>
    <xdr:ext cx="1248833" cy="762000"/>
    <xdr:pic>
      <xdr:nvPicPr>
        <xdr:cNvPr id="60" name="59 Imagen" descr="D:\José Luis Gavidia\Logo\logo.jpg">
          <a:extLst>
            <a:ext uri="{FF2B5EF4-FFF2-40B4-BE49-F238E27FC236}">
              <a16:creationId xmlns:a16="http://schemas.microsoft.com/office/drawing/2014/main" xmlns="" id="{00000000-0008-0000-0800-00003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47834" y="113082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61" name="Cuadro de texto 134">
          <a:extLst>
            <a:ext uri="{FF2B5EF4-FFF2-40B4-BE49-F238E27FC236}">
              <a16:creationId xmlns:a16="http://schemas.microsoft.com/office/drawing/2014/main" xmlns="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963083" y="113040582"/>
          <a:ext cx="520700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54</xdr:row>
      <xdr:rowOff>158749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8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54</xdr:row>
      <xdr:rowOff>148166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492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54</xdr:row>
      <xdr:rowOff>105833</xdr:rowOff>
    </xdr:from>
    <xdr:ext cx="12488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47834" y="306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54</xdr:row>
      <xdr:rowOff>63499</xdr:rowOff>
    </xdr:from>
    <xdr:to>
      <xdr:col>3</xdr:col>
      <xdr:colOff>74083</xdr:colOff>
      <xdr:row>58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520700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104</xdr:row>
      <xdr:rowOff>158749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18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104</xdr:row>
      <xdr:rowOff>148166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207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104</xdr:row>
      <xdr:rowOff>105833</xdr:rowOff>
    </xdr:from>
    <xdr:ext cx="12488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47834" y="1116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1123082"/>
          <a:ext cx="520700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154</xdr:row>
      <xdr:rowOff>158749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5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154</xdr:row>
      <xdr:rowOff>148166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1494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154</xdr:row>
      <xdr:rowOff>105833</xdr:rowOff>
    </xdr:from>
    <xdr:ext cx="12488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47834" y="2145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410082"/>
          <a:ext cx="520700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204</xdr:row>
      <xdr:rowOff>158749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92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204</xdr:row>
      <xdr:rowOff>148166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8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1781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204</xdr:row>
      <xdr:rowOff>105833</xdr:rowOff>
    </xdr:from>
    <xdr:ext cx="12488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47834" y="31739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1697082"/>
          <a:ext cx="520700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254</xdr:row>
      <xdr:rowOff>158749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79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254</xdr:row>
      <xdr:rowOff>148166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2068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254</xdr:row>
      <xdr:rowOff>105833</xdr:rowOff>
    </xdr:from>
    <xdr:ext cx="12488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47834" y="42026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1984082"/>
          <a:ext cx="520700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304</xdr:row>
      <xdr:rowOff>158749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66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304</xdr:row>
      <xdr:rowOff>148166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2355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304</xdr:row>
      <xdr:rowOff>105833</xdr:rowOff>
    </xdr:from>
    <xdr:ext cx="12488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8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47834" y="52313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271082"/>
          <a:ext cx="520700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354</xdr:row>
      <xdr:rowOff>158749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53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354</xdr:row>
      <xdr:rowOff>148166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264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354</xdr:row>
      <xdr:rowOff>105833</xdr:rowOff>
    </xdr:from>
    <xdr:ext cx="12488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8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47834" y="62600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2558082"/>
          <a:ext cx="520700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0</xdr:colOff>
      <xdr:row>404</xdr:row>
      <xdr:rowOff>158749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53332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571500</xdr:colOff>
      <xdr:row>404</xdr:row>
      <xdr:rowOff>148166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8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2642749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404</xdr:row>
      <xdr:rowOff>105833</xdr:rowOff>
    </xdr:from>
    <xdr:ext cx="12488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947834" y="62600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2558082"/>
          <a:ext cx="5207000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</xdr:colOff>
      <xdr:row>1</xdr:row>
      <xdr:rowOff>179915</xdr:rowOff>
    </xdr:from>
    <xdr:ext cx="582083" cy="687917"/>
    <xdr:pic>
      <xdr:nvPicPr>
        <xdr:cNvPr id="58" name="57 Imagen">
          <a:extLst>
            <a:ext uri="{FF2B5EF4-FFF2-40B4-BE49-F238E27FC236}">
              <a16:creationId xmlns:a16="http://schemas.microsoft.com/office/drawing/2014/main" xmlns="" id="{00000000-0008-0000-09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1410949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592666</xdr:colOff>
      <xdr:row>1</xdr:row>
      <xdr:rowOff>158750</xdr:rowOff>
    </xdr:from>
    <xdr:ext cx="592667" cy="677334"/>
    <xdr:pic>
      <xdr:nvPicPr>
        <xdr:cNvPr id="59" name="58 Imagen">
          <a:extLst>
            <a:ext uri="{FF2B5EF4-FFF2-40B4-BE49-F238E27FC236}">
              <a16:creationId xmlns:a16="http://schemas.microsoft.com/office/drawing/2014/main" xmlns="" id="{00000000-0008-0000-0900-00003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" y="114088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</xdr:row>
      <xdr:rowOff>105833</xdr:rowOff>
    </xdr:from>
    <xdr:ext cx="1248833" cy="762000"/>
    <xdr:pic>
      <xdr:nvPicPr>
        <xdr:cNvPr id="60" name="59 Imagen" descr="D:\José Luis Gavidia\Logo\logo.jpg">
          <a:extLst>
            <a:ext uri="{FF2B5EF4-FFF2-40B4-BE49-F238E27FC236}">
              <a16:creationId xmlns:a16="http://schemas.microsoft.com/office/drawing/2014/main" xmlns="" id="{00000000-0008-0000-0900-00003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114035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</xdr:row>
      <xdr:rowOff>63499</xdr:rowOff>
    </xdr:from>
    <xdr:to>
      <xdr:col>3</xdr:col>
      <xdr:colOff>74083</xdr:colOff>
      <xdr:row>5</xdr:row>
      <xdr:rowOff>88687</xdr:rowOff>
    </xdr:to>
    <xdr:sp macro="" textlink="">
      <xdr:nvSpPr>
        <xdr:cNvPr id="61" name="Cuadro de texto 134">
          <a:extLst>
            <a:ext uri="{FF2B5EF4-FFF2-40B4-BE49-F238E27FC236}">
              <a16:creationId xmlns:a16="http://schemas.microsoft.com/office/drawing/2014/main" xmlns="" id="{00000000-0008-0000-0900-00003D000000}"/>
            </a:ext>
          </a:extLst>
        </xdr:cNvPr>
        <xdr:cNvSpPr txBox="1">
          <a:spLocks noChangeArrowheads="1"/>
        </xdr:cNvSpPr>
      </xdr:nvSpPr>
      <xdr:spPr bwMode="auto">
        <a:xfrm>
          <a:off x="963083" y="113993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31750</xdr:colOff>
      <xdr:row>52</xdr:row>
      <xdr:rowOff>179915</xdr:rowOff>
    </xdr:from>
    <xdr:ext cx="582083" cy="687917"/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8099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592666</xdr:colOff>
      <xdr:row>52</xdr:row>
      <xdr:rowOff>158750</xdr:rowOff>
    </xdr:from>
    <xdr:ext cx="592667" cy="677334"/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" y="3598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52</xdr:row>
      <xdr:rowOff>105833</xdr:rowOff>
    </xdr:from>
    <xdr:ext cx="1248833" cy="762000"/>
    <xdr:pic>
      <xdr:nvPicPr>
        <xdr:cNvPr id="8" name="7 Imagen" descr="D:\José Luis Gavidia\Logo\logo.jpg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3069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52</xdr:row>
      <xdr:rowOff>63499</xdr:rowOff>
    </xdr:from>
    <xdr:to>
      <xdr:col>3</xdr:col>
      <xdr:colOff>74083</xdr:colOff>
      <xdr:row>56</xdr:row>
      <xdr:rowOff>88687</xdr:rowOff>
    </xdr:to>
    <xdr:sp macro="" textlink="">
      <xdr:nvSpPr>
        <xdr:cNvPr id="9" name="Cuadro de texto 13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963083" y="2645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31750</xdr:colOff>
      <xdr:row>104</xdr:row>
      <xdr:rowOff>179915</xdr:rowOff>
    </xdr:from>
    <xdr:ext cx="582083" cy="687917"/>
    <xdr:pic>
      <xdr:nvPicPr>
        <xdr:cNvPr id="10" name="9 Imagen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098549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592666</xdr:colOff>
      <xdr:row>104</xdr:row>
      <xdr:rowOff>158750</xdr:rowOff>
    </xdr:from>
    <xdr:ext cx="592667" cy="677334"/>
    <xdr:pic>
      <xdr:nvPicPr>
        <xdr:cNvPr id="11" name="10 Imagen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" y="10964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104</xdr:row>
      <xdr:rowOff>105833</xdr:rowOff>
    </xdr:from>
    <xdr:ext cx="1248833" cy="762000"/>
    <xdr:pic>
      <xdr:nvPicPr>
        <xdr:cNvPr id="12" name="11 Imagen" descr="D:\José Luis Gavidia\Logo\logo.jpg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10911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104</xdr:row>
      <xdr:rowOff>63499</xdr:rowOff>
    </xdr:from>
    <xdr:to>
      <xdr:col>3</xdr:col>
      <xdr:colOff>74083</xdr:colOff>
      <xdr:row>108</xdr:row>
      <xdr:rowOff>88687</xdr:rowOff>
    </xdr:to>
    <xdr:sp macro="" textlink="">
      <xdr:nvSpPr>
        <xdr:cNvPr id="13" name="Cuadro de texto 134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963083" y="10869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31750</xdr:colOff>
      <xdr:row>154</xdr:row>
      <xdr:rowOff>179915</xdr:rowOff>
    </xdr:from>
    <xdr:ext cx="582083" cy="687917"/>
    <xdr:pic>
      <xdr:nvPicPr>
        <xdr:cNvPr id="14" name="13 Imagen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2178049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592666</xdr:colOff>
      <xdr:row>154</xdr:row>
      <xdr:rowOff>158750</xdr:rowOff>
    </xdr:from>
    <xdr:ext cx="592667" cy="677334"/>
    <xdr:pic>
      <xdr:nvPicPr>
        <xdr:cNvPr id="15" name="14 Imagen">
          <a:extLst>
            <a:ext uri="{FF2B5EF4-FFF2-40B4-BE49-F238E27FC236}">
              <a16:creationId xmlns:a16="http://schemas.microsoft.com/office/drawing/2014/main" xmlns="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" y="21759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154</xdr:row>
      <xdr:rowOff>105833</xdr:rowOff>
    </xdr:from>
    <xdr:ext cx="1248833" cy="762000"/>
    <xdr:pic>
      <xdr:nvPicPr>
        <xdr:cNvPr id="16" name="15 Imagen" descr="D:\José Luis Gavidia\Logo\logo.jpg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21706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154</xdr:row>
      <xdr:rowOff>63499</xdr:rowOff>
    </xdr:from>
    <xdr:to>
      <xdr:col>3</xdr:col>
      <xdr:colOff>74083</xdr:colOff>
      <xdr:row>158</xdr:row>
      <xdr:rowOff>88687</xdr:rowOff>
    </xdr:to>
    <xdr:sp macro="" textlink="">
      <xdr:nvSpPr>
        <xdr:cNvPr id="17" name="Cuadro de texto 134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 txBox="1">
          <a:spLocks noChangeArrowheads="1"/>
        </xdr:cNvSpPr>
      </xdr:nvSpPr>
      <xdr:spPr bwMode="auto">
        <a:xfrm>
          <a:off x="963083" y="21664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31750</xdr:colOff>
      <xdr:row>204</xdr:row>
      <xdr:rowOff>179915</xdr:rowOff>
    </xdr:from>
    <xdr:ext cx="582083" cy="687917"/>
    <xdr:pic>
      <xdr:nvPicPr>
        <xdr:cNvPr id="18" name="17 Imagen">
          <a:extLst>
            <a:ext uri="{FF2B5EF4-FFF2-40B4-BE49-F238E27FC236}">
              <a16:creationId xmlns:a16="http://schemas.microsoft.com/office/drawing/2014/main" xmlns="" id="{00000000-0008-0000-09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219449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592666</xdr:colOff>
      <xdr:row>204</xdr:row>
      <xdr:rowOff>158750</xdr:rowOff>
    </xdr:from>
    <xdr:ext cx="592667" cy="677334"/>
    <xdr:pic>
      <xdr:nvPicPr>
        <xdr:cNvPr id="19" name="18 Imagen">
          <a:extLst>
            <a:ext uri="{FF2B5EF4-FFF2-40B4-BE49-F238E27FC236}">
              <a16:creationId xmlns:a16="http://schemas.microsoft.com/office/drawing/2014/main" xmlns="" id="{00000000-0008-0000-09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" y="32173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204</xdr:row>
      <xdr:rowOff>105833</xdr:rowOff>
    </xdr:from>
    <xdr:ext cx="1248833" cy="762000"/>
    <xdr:pic>
      <xdr:nvPicPr>
        <xdr:cNvPr id="20" name="19 Imagen" descr="D:\José Luis Gavidia\Logo\logo.jpg">
          <a:extLst>
            <a:ext uri="{FF2B5EF4-FFF2-40B4-BE49-F238E27FC236}">
              <a16:creationId xmlns:a16="http://schemas.microsoft.com/office/drawing/2014/main" xmlns="" id="{00000000-0008-0000-0900-00001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32120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204</xdr:row>
      <xdr:rowOff>63499</xdr:rowOff>
    </xdr:from>
    <xdr:to>
      <xdr:col>3</xdr:col>
      <xdr:colOff>74083</xdr:colOff>
      <xdr:row>208</xdr:row>
      <xdr:rowOff>88687</xdr:rowOff>
    </xdr:to>
    <xdr:sp macro="" textlink="">
      <xdr:nvSpPr>
        <xdr:cNvPr id="21" name="Cuadro de texto 134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SpPr txBox="1">
          <a:spLocks noChangeArrowheads="1"/>
        </xdr:cNvSpPr>
      </xdr:nvSpPr>
      <xdr:spPr bwMode="auto">
        <a:xfrm>
          <a:off x="963083" y="32078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31750</xdr:colOff>
      <xdr:row>254</xdr:row>
      <xdr:rowOff>179915</xdr:rowOff>
    </xdr:from>
    <xdr:ext cx="582083" cy="687917"/>
    <xdr:pic>
      <xdr:nvPicPr>
        <xdr:cNvPr id="22" name="21 Imagen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4260849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592666</xdr:colOff>
      <xdr:row>254</xdr:row>
      <xdr:rowOff>158750</xdr:rowOff>
    </xdr:from>
    <xdr:ext cx="592667" cy="677334"/>
    <xdr:pic>
      <xdr:nvPicPr>
        <xdr:cNvPr id="23" name="22 Imagen">
          <a:extLst>
            <a:ext uri="{FF2B5EF4-FFF2-40B4-BE49-F238E27FC236}">
              <a16:creationId xmlns:a16="http://schemas.microsoft.com/office/drawing/2014/main" xmlns="" id="{00000000-0008-0000-0900-00001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" y="42587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254</xdr:row>
      <xdr:rowOff>105833</xdr:rowOff>
    </xdr:from>
    <xdr:ext cx="1248833" cy="762000"/>
    <xdr:pic>
      <xdr:nvPicPr>
        <xdr:cNvPr id="24" name="23 Imagen" descr="D:\José Luis Gavidia\Logo\logo.jpg">
          <a:extLst>
            <a:ext uri="{FF2B5EF4-FFF2-40B4-BE49-F238E27FC236}">
              <a16:creationId xmlns:a16="http://schemas.microsoft.com/office/drawing/2014/main" xmlns="" id="{00000000-0008-0000-0900-000018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42534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254</xdr:row>
      <xdr:rowOff>63499</xdr:rowOff>
    </xdr:from>
    <xdr:to>
      <xdr:col>3</xdr:col>
      <xdr:colOff>74083</xdr:colOff>
      <xdr:row>258</xdr:row>
      <xdr:rowOff>88687</xdr:rowOff>
    </xdr:to>
    <xdr:sp macro="" textlink="">
      <xdr:nvSpPr>
        <xdr:cNvPr id="25" name="Cuadro de texto 134">
          <a:extLst>
            <a:ext uri="{FF2B5EF4-FFF2-40B4-BE49-F238E27FC236}">
              <a16:creationId xmlns:a16="http://schemas.microsoft.com/office/drawing/2014/main" xmlns="" id="{00000000-0008-0000-0900-000019000000}"/>
            </a:ext>
          </a:extLst>
        </xdr:cNvPr>
        <xdr:cNvSpPr txBox="1">
          <a:spLocks noChangeArrowheads="1"/>
        </xdr:cNvSpPr>
      </xdr:nvSpPr>
      <xdr:spPr bwMode="auto">
        <a:xfrm>
          <a:off x="963083" y="42492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31750</xdr:colOff>
      <xdr:row>304</xdr:row>
      <xdr:rowOff>179915</xdr:rowOff>
    </xdr:from>
    <xdr:ext cx="582083" cy="687917"/>
    <xdr:pic>
      <xdr:nvPicPr>
        <xdr:cNvPr id="26" name="25 Imagen">
          <a:extLst>
            <a:ext uri="{FF2B5EF4-FFF2-40B4-BE49-F238E27FC236}">
              <a16:creationId xmlns:a16="http://schemas.microsoft.com/office/drawing/2014/main" xmlns="" id="{00000000-0008-0000-09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5302249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592666</xdr:colOff>
      <xdr:row>304</xdr:row>
      <xdr:rowOff>158750</xdr:rowOff>
    </xdr:from>
    <xdr:ext cx="592667" cy="677334"/>
    <xdr:pic>
      <xdr:nvPicPr>
        <xdr:cNvPr id="27" name="26 Imagen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" y="53001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304</xdr:row>
      <xdr:rowOff>105833</xdr:rowOff>
    </xdr:from>
    <xdr:ext cx="1248833" cy="762000"/>
    <xdr:pic>
      <xdr:nvPicPr>
        <xdr:cNvPr id="28" name="27 Imagen" descr="D:\José Luis Gavidia\Logo\logo.jpg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52948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304</xdr:row>
      <xdr:rowOff>63499</xdr:rowOff>
    </xdr:from>
    <xdr:to>
      <xdr:col>3</xdr:col>
      <xdr:colOff>74083</xdr:colOff>
      <xdr:row>308</xdr:row>
      <xdr:rowOff>88687</xdr:rowOff>
    </xdr:to>
    <xdr:sp macro="" textlink="">
      <xdr:nvSpPr>
        <xdr:cNvPr id="29" name="Cuadro de texto 134">
          <a:extLst>
            <a:ext uri="{FF2B5EF4-FFF2-40B4-BE49-F238E27FC236}">
              <a16:creationId xmlns:a16="http://schemas.microsoft.com/office/drawing/2014/main" xmlns="" id="{00000000-0008-0000-0900-00001D000000}"/>
            </a:ext>
          </a:extLst>
        </xdr:cNvPr>
        <xdr:cNvSpPr txBox="1">
          <a:spLocks noChangeArrowheads="1"/>
        </xdr:cNvSpPr>
      </xdr:nvSpPr>
      <xdr:spPr bwMode="auto">
        <a:xfrm>
          <a:off x="963083" y="52906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31750</xdr:colOff>
      <xdr:row>354</xdr:row>
      <xdr:rowOff>179915</xdr:rowOff>
    </xdr:from>
    <xdr:ext cx="582083" cy="687917"/>
    <xdr:pic>
      <xdr:nvPicPr>
        <xdr:cNvPr id="30" name="29 Imagen">
          <a:extLst>
            <a:ext uri="{FF2B5EF4-FFF2-40B4-BE49-F238E27FC236}">
              <a16:creationId xmlns:a16="http://schemas.microsoft.com/office/drawing/2014/main" xmlns="" id="{00000000-0008-0000-09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6343649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592666</xdr:colOff>
      <xdr:row>354</xdr:row>
      <xdr:rowOff>158750</xdr:rowOff>
    </xdr:from>
    <xdr:ext cx="592667" cy="677334"/>
    <xdr:pic>
      <xdr:nvPicPr>
        <xdr:cNvPr id="31" name="30 Imagen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" y="63415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354</xdr:row>
      <xdr:rowOff>105833</xdr:rowOff>
    </xdr:from>
    <xdr:ext cx="1248833" cy="762000"/>
    <xdr:pic>
      <xdr:nvPicPr>
        <xdr:cNvPr id="32" name="31 Imagen" descr="D:\José Luis Gavidia\Logo\logo.jpg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6336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354</xdr:row>
      <xdr:rowOff>63499</xdr:rowOff>
    </xdr:from>
    <xdr:to>
      <xdr:col>3</xdr:col>
      <xdr:colOff>74083</xdr:colOff>
      <xdr:row>358</xdr:row>
      <xdr:rowOff>88687</xdr:rowOff>
    </xdr:to>
    <xdr:sp macro="" textlink="">
      <xdr:nvSpPr>
        <xdr:cNvPr id="33" name="Cuadro de texto 134">
          <a:extLst>
            <a:ext uri="{FF2B5EF4-FFF2-40B4-BE49-F238E27FC236}">
              <a16:creationId xmlns:a16="http://schemas.microsoft.com/office/drawing/2014/main" xmlns="" id="{00000000-0008-0000-0900-000021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0</xdr:col>
      <xdr:colOff>31750</xdr:colOff>
      <xdr:row>404</xdr:row>
      <xdr:rowOff>179915</xdr:rowOff>
    </xdr:from>
    <xdr:ext cx="582083" cy="687917"/>
    <xdr:pic>
      <xdr:nvPicPr>
        <xdr:cNvPr id="34" name="33 Imagen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63436498"/>
          <a:ext cx="582083" cy="6879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592666</xdr:colOff>
      <xdr:row>404</xdr:row>
      <xdr:rowOff>158750</xdr:rowOff>
    </xdr:from>
    <xdr:ext cx="592667" cy="677334"/>
    <xdr:pic>
      <xdr:nvPicPr>
        <xdr:cNvPr id="35" name="34 Imagen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6" y="63415333"/>
          <a:ext cx="592667" cy="67733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1005417</xdr:colOff>
      <xdr:row>404</xdr:row>
      <xdr:rowOff>105833</xdr:rowOff>
    </xdr:from>
    <xdr:ext cx="1248833" cy="762000"/>
    <xdr:pic>
      <xdr:nvPicPr>
        <xdr:cNvPr id="36" name="35 Imagen" descr="D:\José Luis Gavidia\Logo\logo.jpg">
          <a:extLst>
            <a:ext uri="{FF2B5EF4-FFF2-40B4-BE49-F238E27FC236}">
              <a16:creationId xmlns:a16="http://schemas.microsoft.com/office/drawing/2014/main" xmlns="" id="{00000000-0008-0000-0900-00002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33"/>
        <a:stretch/>
      </xdr:blipFill>
      <xdr:spPr bwMode="auto">
        <a:xfrm>
          <a:off x="5736167" y="63362416"/>
          <a:ext cx="1248833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963083</xdr:colOff>
      <xdr:row>404</xdr:row>
      <xdr:rowOff>63499</xdr:rowOff>
    </xdr:from>
    <xdr:to>
      <xdr:col>3</xdr:col>
      <xdr:colOff>74083</xdr:colOff>
      <xdr:row>408</xdr:row>
      <xdr:rowOff>88687</xdr:rowOff>
    </xdr:to>
    <xdr:sp macro="" textlink="">
      <xdr:nvSpPr>
        <xdr:cNvPr id="37" name="Cuadro de texto 134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SpPr txBox="1">
          <a:spLocks noChangeArrowheads="1"/>
        </xdr:cNvSpPr>
      </xdr:nvSpPr>
      <xdr:spPr bwMode="auto">
        <a:xfrm>
          <a:off x="963083" y="63320082"/>
          <a:ext cx="4995333" cy="91418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1100" b="1">
              <a:effectLst/>
              <a:latin typeface="Calibri Light"/>
              <a:ea typeface="Calibri"/>
              <a:cs typeface="Calibri Light"/>
            </a:rPr>
            <a:t>GOBIERNO AUTÓNOMO DESCENTRALIZADO PARROQUIAL RURAL ÁVILA HUIRUNO, GADPRAH - LORETO - ORELLANA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Arial Narrow"/>
              <a:ea typeface="Calibri"/>
              <a:cs typeface="Times New Roman"/>
            </a:rPr>
            <a:t>Creada Mediante Ley Div. Territorial 1861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Reubicada por acuerdo Ministerial Nº 0908 del 17 de Octubre de 1985 </a:t>
          </a:r>
          <a:endParaRPr lang="es-ES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es-EC" sz="800" i="1">
              <a:solidFill>
                <a:srgbClr val="5B9BD5"/>
              </a:solidFill>
              <a:effectLst/>
              <a:latin typeface="Calibri"/>
              <a:ea typeface="Calibri"/>
              <a:cs typeface="Times New Roman"/>
            </a:rPr>
            <a:t>Registro Oficial N° 815 del 6 de Noviembre de 1995</a:t>
          </a:r>
          <a:endParaRPr lang="es-E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4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27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8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E500"/>
  <sheetViews>
    <sheetView topLeftCell="A465" zoomScale="90" zoomScaleNormal="90" workbookViewId="0">
      <selection activeCell="F489" sqref="F489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6.109375" customWidth="1"/>
    <col min="5" max="5" width="32.109375" customWidth="1"/>
    <col min="6" max="7" width="11.5546875" customWidth="1"/>
  </cols>
  <sheetData>
    <row r="2" spans="1:4" ht="15" thickBot="1" x14ac:dyDescent="0.35"/>
    <row r="3" spans="1:4" ht="25.2" x14ac:dyDescent="0.3">
      <c r="A3" s="294"/>
      <c r="B3" s="295"/>
      <c r="C3" s="295"/>
      <c r="D3" s="296"/>
    </row>
    <row r="4" spans="1:4" x14ac:dyDescent="0.3">
      <c r="A4" s="31"/>
      <c r="B4" s="48"/>
      <c r="C4" s="2"/>
      <c r="D4" s="30"/>
    </row>
    <row r="5" spans="1:4" x14ac:dyDescent="0.3">
      <c r="A5" s="31"/>
      <c r="B5" s="49"/>
      <c r="C5" s="2"/>
      <c r="D5" s="30"/>
    </row>
    <row r="6" spans="1:4" x14ac:dyDescent="0.3">
      <c r="A6" s="31"/>
      <c r="B6" s="49"/>
      <c r="C6" s="2"/>
      <c r="D6" s="30"/>
    </row>
    <row r="7" spans="1:4" ht="15" thickBot="1" x14ac:dyDescent="0.35">
      <c r="A7" s="31"/>
      <c r="B7" s="2"/>
      <c r="C7" s="2"/>
      <c r="D7" s="30"/>
    </row>
    <row r="8" spans="1:4" ht="25.8" thickBot="1" x14ac:dyDescent="0.35">
      <c r="A8" s="297" t="s">
        <v>0</v>
      </c>
      <c r="B8" s="298"/>
      <c r="C8" s="298"/>
      <c r="D8" s="299"/>
    </row>
    <row r="9" spans="1:4" ht="25.2" x14ac:dyDescent="0.3">
      <c r="A9" s="52"/>
      <c r="B9" s="53"/>
      <c r="C9" s="53"/>
      <c r="D9" s="54"/>
    </row>
    <row r="10" spans="1:4" x14ac:dyDescent="0.3">
      <c r="A10" s="11" t="s">
        <v>1</v>
      </c>
      <c r="B10" s="3" t="s">
        <v>32</v>
      </c>
      <c r="C10" s="3"/>
      <c r="D10" s="12"/>
    </row>
    <row r="11" spans="1:4" x14ac:dyDescent="0.3">
      <c r="A11" s="11" t="s">
        <v>2</v>
      </c>
      <c r="B11" s="10" t="s">
        <v>27</v>
      </c>
      <c r="C11" s="4"/>
      <c r="D11" s="13"/>
    </row>
    <row r="12" spans="1:4" x14ac:dyDescent="0.3">
      <c r="A12" s="11" t="s">
        <v>3</v>
      </c>
      <c r="B12" s="3" t="s">
        <v>15</v>
      </c>
      <c r="C12" s="4"/>
      <c r="D12" s="14"/>
    </row>
    <row r="13" spans="1:4" x14ac:dyDescent="0.3">
      <c r="A13" s="11" t="s">
        <v>26</v>
      </c>
      <c r="B13" s="3" t="s">
        <v>25</v>
      </c>
      <c r="C13" s="4"/>
      <c r="D13" s="15"/>
    </row>
    <row r="14" spans="1:4" x14ac:dyDescent="0.3">
      <c r="A14" s="11" t="s">
        <v>99</v>
      </c>
      <c r="B14" s="55">
        <v>2022</v>
      </c>
      <c r="C14" s="4"/>
      <c r="D14" s="15"/>
    </row>
    <row r="15" spans="1:4" x14ac:dyDescent="0.3">
      <c r="A15" s="16"/>
      <c r="B15" s="5"/>
      <c r="C15" s="5"/>
      <c r="D15" s="17"/>
    </row>
    <row r="16" spans="1:4" x14ac:dyDescent="0.3">
      <c r="A16" s="39" t="s">
        <v>94</v>
      </c>
      <c r="B16" s="40"/>
      <c r="C16" s="41" t="s">
        <v>5</v>
      </c>
      <c r="D16" s="42" t="s">
        <v>6</v>
      </c>
    </row>
    <row r="17" spans="1:5" x14ac:dyDescent="0.3">
      <c r="A17" s="18"/>
      <c r="B17" s="6"/>
      <c r="C17" s="7"/>
      <c r="D17" s="19"/>
    </row>
    <row r="18" spans="1:5" x14ac:dyDescent="0.3">
      <c r="A18" s="26" t="s">
        <v>16</v>
      </c>
      <c r="B18" s="27"/>
      <c r="C18" s="28">
        <v>1340</v>
      </c>
      <c r="D18" s="29"/>
    </row>
    <row r="19" spans="1:5" ht="24" x14ac:dyDescent="0.3">
      <c r="A19" s="26" t="s">
        <v>104</v>
      </c>
      <c r="B19" s="27"/>
      <c r="C19" s="28"/>
      <c r="D19" s="29"/>
    </row>
    <row r="20" spans="1:5" x14ac:dyDescent="0.3">
      <c r="A20" s="26" t="s">
        <v>8</v>
      </c>
      <c r="B20" s="27"/>
      <c r="C20" s="28"/>
      <c r="D20" s="29"/>
    </row>
    <row r="21" spans="1:5" x14ac:dyDescent="0.3">
      <c r="A21" s="26" t="s">
        <v>9</v>
      </c>
      <c r="B21" s="27"/>
      <c r="C21" s="28"/>
      <c r="D21" s="29"/>
    </row>
    <row r="22" spans="1:5" x14ac:dyDescent="0.3">
      <c r="A22" s="26"/>
      <c r="B22" s="27" t="s">
        <v>10</v>
      </c>
      <c r="C22" s="28"/>
      <c r="D22" s="29">
        <f>C18*11.45%</f>
        <v>153.42999999999998</v>
      </c>
    </row>
    <row r="23" spans="1:5" x14ac:dyDescent="0.3">
      <c r="A23" s="26"/>
      <c r="B23" s="27" t="s">
        <v>11</v>
      </c>
      <c r="C23" s="28"/>
      <c r="D23" s="29">
        <v>170.95</v>
      </c>
    </row>
    <row r="24" spans="1:5" x14ac:dyDescent="0.3">
      <c r="A24" s="26"/>
      <c r="B24" s="27" t="s">
        <v>55</v>
      </c>
      <c r="C24" s="28"/>
      <c r="D24" s="29"/>
    </row>
    <row r="25" spans="1:5" x14ac:dyDescent="0.3">
      <c r="A25" s="26"/>
      <c r="B25" s="27" t="s">
        <v>102</v>
      </c>
      <c r="C25" s="28"/>
      <c r="D25" s="29"/>
      <c r="E25" s="57"/>
    </row>
    <row r="26" spans="1:5" x14ac:dyDescent="0.3">
      <c r="A26" s="26"/>
      <c r="B26" s="27"/>
      <c r="C26" s="28"/>
      <c r="D26" s="29"/>
    </row>
    <row r="27" spans="1:5" x14ac:dyDescent="0.3">
      <c r="A27" s="21"/>
      <c r="B27" s="8"/>
      <c r="C27" s="1"/>
      <c r="D27" s="20"/>
    </row>
    <row r="28" spans="1:5" x14ac:dyDescent="0.3">
      <c r="A28" s="43"/>
      <c r="B28" s="44" t="s">
        <v>12</v>
      </c>
      <c r="C28" s="46">
        <f>SUM(C18:C27)</f>
        <v>1340</v>
      </c>
      <c r="D28" s="50">
        <f>SUM(D18:D27)</f>
        <v>324.38</v>
      </c>
    </row>
    <row r="29" spans="1:5" x14ac:dyDescent="0.3">
      <c r="A29" s="21"/>
      <c r="B29" s="3"/>
      <c r="C29" s="3"/>
      <c r="D29" s="22"/>
    </row>
    <row r="30" spans="1:5" ht="28.2" x14ac:dyDescent="0.3">
      <c r="A30" s="21"/>
      <c r="B30" s="45"/>
      <c r="C30" s="47" t="s">
        <v>13</v>
      </c>
      <c r="D30" s="51">
        <f>+C28-D28</f>
        <v>1015.62</v>
      </c>
    </row>
    <row r="31" spans="1:5" x14ac:dyDescent="0.3">
      <c r="A31" s="21"/>
      <c r="B31" s="3"/>
      <c r="C31" s="3"/>
      <c r="D31" s="22"/>
    </row>
    <row r="32" spans="1:5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21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24</v>
      </c>
      <c r="D47" s="293"/>
    </row>
    <row r="54" spans="1:4" ht="15" thickBot="1" x14ac:dyDescent="0.35"/>
    <row r="55" spans="1:4" ht="25.2" x14ac:dyDescent="0.3">
      <c r="A55" s="294"/>
      <c r="B55" s="295"/>
      <c r="C55" s="295"/>
      <c r="D55" s="296"/>
    </row>
    <row r="56" spans="1:4" x14ac:dyDescent="0.3">
      <c r="A56" s="31"/>
      <c r="B56" s="48"/>
      <c r="C56" s="2"/>
      <c r="D56" s="30"/>
    </row>
    <row r="57" spans="1:4" x14ac:dyDescent="0.3">
      <c r="A57" s="31"/>
      <c r="B57" s="49"/>
      <c r="C57" s="2"/>
      <c r="D57" s="30"/>
    </row>
    <row r="58" spans="1:4" x14ac:dyDescent="0.3">
      <c r="A58" s="31"/>
      <c r="B58" s="49"/>
      <c r="C58" s="2"/>
      <c r="D58" s="30"/>
    </row>
    <row r="59" spans="1:4" ht="15" thickBot="1" x14ac:dyDescent="0.35">
      <c r="A59" s="31"/>
      <c r="B59" s="2"/>
      <c r="C59" s="2"/>
      <c r="D59" s="30"/>
    </row>
    <row r="60" spans="1:4" ht="25.8" thickBot="1" x14ac:dyDescent="0.35">
      <c r="A60" s="297" t="s">
        <v>0</v>
      </c>
      <c r="B60" s="298"/>
      <c r="C60" s="298"/>
      <c r="D60" s="299"/>
    </row>
    <row r="61" spans="1:4" ht="25.2" x14ac:dyDescent="0.3">
      <c r="A61" s="52"/>
      <c r="B61" s="53"/>
      <c r="C61" s="53"/>
      <c r="D61" s="54"/>
    </row>
    <row r="62" spans="1:4" x14ac:dyDescent="0.3">
      <c r="A62" s="11" t="s">
        <v>1</v>
      </c>
      <c r="B62" s="3" t="s">
        <v>32</v>
      </c>
      <c r="C62" s="3"/>
      <c r="D62" s="12"/>
    </row>
    <row r="63" spans="1:4" x14ac:dyDescent="0.3">
      <c r="A63" s="11" t="s">
        <v>2</v>
      </c>
      <c r="B63" s="10" t="s">
        <v>27</v>
      </c>
      <c r="C63" s="4"/>
      <c r="D63" s="13"/>
    </row>
    <row r="64" spans="1:4" x14ac:dyDescent="0.3">
      <c r="A64" s="11" t="s">
        <v>3</v>
      </c>
      <c r="B64" s="3" t="s">
        <v>15</v>
      </c>
      <c r="C64" s="4"/>
      <c r="D64" s="14"/>
    </row>
    <row r="65" spans="1:4" x14ac:dyDescent="0.3">
      <c r="A65" s="11" t="s">
        <v>26</v>
      </c>
      <c r="B65" s="3" t="s">
        <v>112</v>
      </c>
      <c r="C65" s="4"/>
      <c r="D65" s="15"/>
    </row>
    <row r="66" spans="1:4" x14ac:dyDescent="0.3">
      <c r="A66" s="11" t="s">
        <v>99</v>
      </c>
      <c r="B66" s="55">
        <v>2022</v>
      </c>
      <c r="C66" s="4"/>
      <c r="D66" s="15"/>
    </row>
    <row r="67" spans="1:4" x14ac:dyDescent="0.3">
      <c r="A67" s="16"/>
      <c r="B67" s="5"/>
      <c r="C67" s="5"/>
      <c r="D67" s="17"/>
    </row>
    <row r="68" spans="1:4" x14ac:dyDescent="0.3">
      <c r="A68" s="39" t="s">
        <v>94</v>
      </c>
      <c r="B68" s="40"/>
      <c r="C68" s="41" t="s">
        <v>5</v>
      </c>
      <c r="D68" s="42" t="s">
        <v>6</v>
      </c>
    </row>
    <row r="69" spans="1:4" x14ac:dyDescent="0.3">
      <c r="A69" s="18"/>
      <c r="B69" s="6"/>
      <c r="C69" s="7"/>
      <c r="D69" s="19"/>
    </row>
    <row r="70" spans="1:4" x14ac:dyDescent="0.3">
      <c r="A70" s="26" t="s">
        <v>16</v>
      </c>
      <c r="B70" s="27"/>
      <c r="C70" s="28">
        <v>1340</v>
      </c>
      <c r="D70" s="29"/>
    </row>
    <row r="71" spans="1:4" ht="24" x14ac:dyDescent="0.3">
      <c r="A71" s="26" t="s">
        <v>104</v>
      </c>
      <c r="B71" s="27"/>
      <c r="C71" s="28"/>
      <c r="D71" s="29"/>
    </row>
    <row r="72" spans="1:4" x14ac:dyDescent="0.3">
      <c r="A72" s="26" t="s">
        <v>8</v>
      </c>
      <c r="B72" s="27"/>
      <c r="C72" s="28"/>
      <c r="D72" s="29"/>
    </row>
    <row r="73" spans="1:4" x14ac:dyDescent="0.3">
      <c r="A73" s="26" t="s">
        <v>9</v>
      </c>
      <c r="B73" s="27"/>
      <c r="C73" s="28"/>
      <c r="D73" s="29"/>
    </row>
    <row r="74" spans="1:4" x14ac:dyDescent="0.3">
      <c r="A74" s="26"/>
      <c r="B74" s="27" t="s">
        <v>10</v>
      </c>
      <c r="C74" s="28"/>
      <c r="D74" s="29">
        <f>C70*11.45%</f>
        <v>153.42999999999998</v>
      </c>
    </row>
    <row r="75" spans="1:4" x14ac:dyDescent="0.3">
      <c r="A75" s="26"/>
      <c r="B75" s="27" t="s">
        <v>11</v>
      </c>
      <c r="C75" s="28"/>
      <c r="D75" s="29">
        <v>169.45</v>
      </c>
    </row>
    <row r="76" spans="1:4" x14ac:dyDescent="0.3">
      <c r="A76" s="26"/>
      <c r="B76" s="27" t="s">
        <v>55</v>
      </c>
      <c r="C76" s="28"/>
      <c r="D76" s="29"/>
    </row>
    <row r="77" spans="1:4" x14ac:dyDescent="0.3">
      <c r="A77" s="26"/>
      <c r="B77" s="27" t="s">
        <v>102</v>
      </c>
      <c r="C77" s="28"/>
      <c r="D77" s="29"/>
    </row>
    <row r="78" spans="1:4" x14ac:dyDescent="0.3">
      <c r="A78" s="26"/>
      <c r="B78" s="27"/>
      <c r="C78" s="28"/>
      <c r="D78" s="29"/>
    </row>
    <row r="79" spans="1:4" x14ac:dyDescent="0.3">
      <c r="A79" s="21"/>
      <c r="B79" s="8"/>
      <c r="C79" s="1"/>
      <c r="D79" s="20"/>
    </row>
    <row r="80" spans="1:4" x14ac:dyDescent="0.3">
      <c r="A80" s="43"/>
      <c r="B80" s="44" t="s">
        <v>12</v>
      </c>
      <c r="C80" s="46">
        <f>SUM(C70:C79)</f>
        <v>1340</v>
      </c>
      <c r="D80" s="50">
        <f>SUM(D70:D79)</f>
        <v>322.88</v>
      </c>
    </row>
    <row r="81" spans="1:4" x14ac:dyDescent="0.3">
      <c r="A81" s="21"/>
      <c r="B81" s="3"/>
      <c r="C81" s="3"/>
      <c r="D81" s="22"/>
    </row>
    <row r="82" spans="1:4" ht="28.2" x14ac:dyDescent="0.3">
      <c r="A82" s="21"/>
      <c r="B82" s="45"/>
      <c r="C82" s="47" t="s">
        <v>13</v>
      </c>
      <c r="D82" s="51">
        <f>+C80-D80</f>
        <v>1017.12</v>
      </c>
    </row>
    <row r="83" spans="1:4" x14ac:dyDescent="0.3">
      <c r="A83" s="21"/>
      <c r="B83" s="3"/>
      <c r="C83" s="3"/>
      <c r="D83" s="22"/>
    </row>
    <row r="84" spans="1:4" x14ac:dyDescent="0.3">
      <c r="A84" s="23"/>
      <c r="B84" s="4" t="s">
        <v>14</v>
      </c>
      <c r="C84" s="2"/>
      <c r="D84" s="24"/>
    </row>
    <row r="85" spans="1:4" ht="15" thickBot="1" x14ac:dyDescent="0.35">
      <c r="A85" s="23"/>
      <c r="B85" s="9"/>
      <c r="C85" s="9"/>
      <c r="D85" s="24"/>
    </row>
    <row r="86" spans="1:4" x14ac:dyDescent="0.3">
      <c r="A86" s="300" t="s">
        <v>28</v>
      </c>
      <c r="B86" s="300" t="s">
        <v>93</v>
      </c>
      <c r="C86" s="302" t="s">
        <v>30</v>
      </c>
      <c r="D86" s="303"/>
    </row>
    <row r="87" spans="1:4" ht="15" thickBot="1" x14ac:dyDescent="0.35">
      <c r="A87" s="301"/>
      <c r="B87" s="301"/>
      <c r="C87" s="304"/>
      <c r="D87" s="30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8" t="s">
        <v>20</v>
      </c>
      <c r="B98" s="35" t="s">
        <v>21</v>
      </c>
      <c r="C98" s="290" t="s">
        <v>21</v>
      </c>
      <c r="D98" s="291"/>
    </row>
    <row r="99" spans="1:4" ht="15" thickBot="1" x14ac:dyDescent="0.35">
      <c r="A99" s="36" t="s">
        <v>22</v>
      </c>
      <c r="B99" s="33" t="s">
        <v>23</v>
      </c>
      <c r="C99" s="292" t="s">
        <v>24</v>
      </c>
      <c r="D99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32</v>
      </c>
      <c r="C112" s="3"/>
      <c r="D112" s="12"/>
    </row>
    <row r="113" spans="1:4" x14ac:dyDescent="0.3">
      <c r="A113" s="11" t="s">
        <v>2</v>
      </c>
      <c r="B113" s="10" t="s">
        <v>27</v>
      </c>
      <c r="C113" s="4"/>
      <c r="D113" s="13"/>
    </row>
    <row r="114" spans="1:4" x14ac:dyDescent="0.3">
      <c r="A114" s="11" t="s">
        <v>3</v>
      </c>
      <c r="B114" s="3" t="s">
        <v>15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1340</v>
      </c>
      <c r="D120" s="29"/>
    </row>
    <row r="121" spans="1:4" ht="24" x14ac:dyDescent="0.3">
      <c r="A121" s="26" t="s">
        <v>104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153.42999999999998</v>
      </c>
    </row>
    <row r="125" spans="1:4" x14ac:dyDescent="0.3">
      <c r="A125" s="26"/>
      <c r="B125" s="27" t="s">
        <v>11</v>
      </c>
      <c r="C125" s="28"/>
      <c r="D125" s="29">
        <v>167.96</v>
      </c>
    </row>
    <row r="126" spans="1:4" x14ac:dyDescent="0.3">
      <c r="A126" s="26"/>
      <c r="B126" s="27" t="s">
        <v>55</v>
      </c>
      <c r="C126" s="28"/>
      <c r="D126" s="29"/>
    </row>
    <row r="127" spans="1:4" x14ac:dyDescent="0.3">
      <c r="A127" s="26"/>
      <c r="B127" s="27" t="s">
        <v>102</v>
      </c>
      <c r="C127" s="28"/>
      <c r="D127" s="29">
        <v>133.41</v>
      </c>
    </row>
    <row r="128" spans="1:4" x14ac:dyDescent="0.3">
      <c r="A128" s="26"/>
      <c r="B128" s="27"/>
      <c r="C128" s="28"/>
      <c r="D128" s="29"/>
    </row>
    <row r="129" spans="1:4" x14ac:dyDescent="0.3">
      <c r="A129" s="21"/>
      <c r="B129" s="8"/>
      <c r="C129" s="1"/>
      <c r="D129" s="20"/>
    </row>
    <row r="130" spans="1:4" x14ac:dyDescent="0.3">
      <c r="A130" s="43"/>
      <c r="B130" s="44" t="s">
        <v>12</v>
      </c>
      <c r="C130" s="46">
        <f>SUM(C120:C129)</f>
        <v>1340</v>
      </c>
      <c r="D130" s="50">
        <f>SUM(D120:D129)</f>
        <v>454.79999999999995</v>
      </c>
    </row>
    <row r="131" spans="1:4" x14ac:dyDescent="0.3">
      <c r="A131" s="21"/>
      <c r="B131" s="3"/>
      <c r="C131" s="3"/>
      <c r="D131" s="22"/>
    </row>
    <row r="132" spans="1:4" ht="28.2" x14ac:dyDescent="0.3">
      <c r="A132" s="21"/>
      <c r="B132" s="45"/>
      <c r="C132" s="47" t="s">
        <v>13</v>
      </c>
      <c r="D132" s="51">
        <f>+C130-D130</f>
        <v>885.2</v>
      </c>
    </row>
    <row r="133" spans="1:4" x14ac:dyDescent="0.3">
      <c r="A133" s="21"/>
      <c r="B133" s="3"/>
      <c r="C133" s="3"/>
      <c r="D133" s="22"/>
    </row>
    <row r="134" spans="1:4" x14ac:dyDescent="0.3">
      <c r="A134" s="23"/>
      <c r="B134" s="4" t="s">
        <v>14</v>
      </c>
      <c r="C134" s="2"/>
      <c r="D134" s="24"/>
    </row>
    <row r="135" spans="1:4" ht="15" thickBot="1" x14ac:dyDescent="0.35">
      <c r="A135" s="23"/>
      <c r="B135" s="9"/>
      <c r="C135" s="9"/>
      <c r="D135" s="24"/>
    </row>
    <row r="136" spans="1:4" x14ac:dyDescent="0.3">
      <c r="A136" s="300" t="s">
        <v>28</v>
      </c>
      <c r="B136" s="300" t="s">
        <v>93</v>
      </c>
      <c r="C136" s="302" t="s">
        <v>30</v>
      </c>
      <c r="D136" s="303"/>
    </row>
    <row r="137" spans="1:4" ht="15" thickBot="1" x14ac:dyDescent="0.35">
      <c r="A137" s="301"/>
      <c r="B137" s="301"/>
      <c r="C137" s="304"/>
      <c r="D137" s="305"/>
    </row>
    <row r="138" spans="1:4" x14ac:dyDescent="0.3">
      <c r="A138" s="37"/>
      <c r="B138" s="34"/>
      <c r="C138" s="32"/>
      <c r="D138" s="2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8" t="s">
        <v>20</v>
      </c>
      <c r="B148" s="35" t="s">
        <v>21</v>
      </c>
      <c r="C148" s="290" t="s">
        <v>21</v>
      </c>
      <c r="D148" s="291"/>
    </row>
    <row r="149" spans="1:4" ht="15" thickBot="1" x14ac:dyDescent="0.35">
      <c r="A149" s="36" t="s">
        <v>22</v>
      </c>
      <c r="B149" s="33" t="s">
        <v>23</v>
      </c>
      <c r="C149" s="292" t="s">
        <v>24</v>
      </c>
      <c r="D149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32</v>
      </c>
      <c r="C162" s="3"/>
      <c r="D162" s="12"/>
    </row>
    <row r="163" spans="1:4" x14ac:dyDescent="0.3">
      <c r="A163" s="11" t="s">
        <v>2</v>
      </c>
      <c r="B163" s="10" t="s">
        <v>27</v>
      </c>
      <c r="C163" s="4"/>
      <c r="D163" s="13"/>
    </row>
    <row r="164" spans="1:4" x14ac:dyDescent="0.3">
      <c r="A164" s="11" t="s">
        <v>3</v>
      </c>
      <c r="B164" s="3" t="s">
        <v>15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1340</v>
      </c>
      <c r="D170" s="29"/>
    </row>
    <row r="171" spans="1:4" ht="24" x14ac:dyDescent="0.3">
      <c r="A171" s="26" t="s">
        <v>104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10</v>
      </c>
      <c r="C174" s="28"/>
      <c r="D174" s="29">
        <f>C170*11.45%</f>
        <v>153.42999999999998</v>
      </c>
    </row>
    <row r="175" spans="1:4" x14ac:dyDescent="0.3">
      <c r="A175" s="26"/>
      <c r="B175" s="27" t="s">
        <v>11</v>
      </c>
      <c r="C175" s="28"/>
      <c r="D175" s="29">
        <v>166.46</v>
      </c>
    </row>
    <row r="176" spans="1:4" x14ac:dyDescent="0.3">
      <c r="A176" s="26"/>
      <c r="B176" s="27" t="s">
        <v>55</v>
      </c>
      <c r="C176" s="28"/>
      <c r="D176" s="29"/>
    </row>
    <row r="177" spans="1:4" x14ac:dyDescent="0.3">
      <c r="A177" s="26"/>
      <c r="B177" s="27" t="s">
        <v>102</v>
      </c>
      <c r="C177" s="28"/>
      <c r="D177" s="29"/>
    </row>
    <row r="178" spans="1:4" x14ac:dyDescent="0.3">
      <c r="A178" s="26"/>
      <c r="B178" s="27"/>
      <c r="C178" s="28"/>
      <c r="D178" s="29"/>
    </row>
    <row r="179" spans="1:4" x14ac:dyDescent="0.3">
      <c r="A179" s="21"/>
      <c r="B179" s="8"/>
      <c r="C179" s="1"/>
      <c r="D179" s="20"/>
    </row>
    <row r="180" spans="1:4" x14ac:dyDescent="0.3">
      <c r="A180" s="43"/>
      <c r="B180" s="44" t="s">
        <v>12</v>
      </c>
      <c r="C180" s="46">
        <f>SUM(C170:C179)</f>
        <v>1340</v>
      </c>
      <c r="D180" s="50">
        <f>SUM(D170:D179)</f>
        <v>319.89</v>
      </c>
    </row>
    <row r="181" spans="1:4" x14ac:dyDescent="0.3">
      <c r="A181" s="21"/>
      <c r="B181" s="3"/>
      <c r="C181" s="3"/>
      <c r="D181" s="22"/>
    </row>
    <row r="182" spans="1:4" ht="28.2" x14ac:dyDescent="0.3">
      <c r="A182" s="21"/>
      <c r="B182" s="45"/>
      <c r="C182" s="47" t="s">
        <v>13</v>
      </c>
      <c r="D182" s="51">
        <f>+C180-D180</f>
        <v>1020.11</v>
      </c>
    </row>
    <row r="183" spans="1:4" x14ac:dyDescent="0.3">
      <c r="A183" s="21"/>
      <c r="B183" s="3"/>
      <c r="C183" s="3"/>
      <c r="D183" s="22"/>
    </row>
    <row r="184" spans="1:4" x14ac:dyDescent="0.3">
      <c r="A184" s="23"/>
      <c r="B184" s="4" t="s">
        <v>14</v>
      </c>
      <c r="C184" s="2"/>
      <c r="D184" s="24"/>
    </row>
    <row r="185" spans="1:4" ht="15" thickBot="1" x14ac:dyDescent="0.35">
      <c r="A185" s="23"/>
      <c r="B185" s="9"/>
      <c r="C185" s="9"/>
      <c r="D185" s="24"/>
    </row>
    <row r="186" spans="1:4" x14ac:dyDescent="0.3">
      <c r="A186" s="300" t="s">
        <v>28</v>
      </c>
      <c r="B186" s="300" t="s">
        <v>93</v>
      </c>
      <c r="C186" s="302" t="s">
        <v>30</v>
      </c>
      <c r="D186" s="303"/>
    </row>
    <row r="187" spans="1:4" ht="15" thickBot="1" x14ac:dyDescent="0.35">
      <c r="A187" s="301"/>
      <c r="B187" s="301"/>
      <c r="C187" s="304"/>
      <c r="D187" s="305"/>
    </row>
    <row r="188" spans="1:4" x14ac:dyDescent="0.3">
      <c r="A188" s="37"/>
      <c r="B188" s="34"/>
      <c r="C188" s="32"/>
      <c r="D188" s="2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8" t="s">
        <v>20</v>
      </c>
      <c r="B198" s="35" t="s">
        <v>21</v>
      </c>
      <c r="C198" s="290" t="s">
        <v>21</v>
      </c>
      <c r="D198" s="291"/>
    </row>
    <row r="199" spans="1:4" ht="15" thickBot="1" x14ac:dyDescent="0.35">
      <c r="A199" s="36" t="s">
        <v>22</v>
      </c>
      <c r="B199" s="33" t="s">
        <v>23</v>
      </c>
      <c r="C199" s="292" t="s">
        <v>24</v>
      </c>
      <c r="D199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32</v>
      </c>
      <c r="C212" s="3"/>
      <c r="D212" s="12"/>
    </row>
    <row r="213" spans="1:4" x14ac:dyDescent="0.3">
      <c r="A213" s="11" t="s">
        <v>2</v>
      </c>
      <c r="B213" s="10" t="s">
        <v>27</v>
      </c>
      <c r="C213" s="4"/>
      <c r="D213" s="13"/>
    </row>
    <row r="214" spans="1:4" x14ac:dyDescent="0.3">
      <c r="A214" s="11" t="s">
        <v>3</v>
      </c>
      <c r="B214" s="3" t="s">
        <v>15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1340</v>
      </c>
      <c r="D220" s="29"/>
    </row>
    <row r="221" spans="1:4" ht="24" x14ac:dyDescent="0.3">
      <c r="A221" s="26" t="s">
        <v>104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153.42999999999998</v>
      </c>
    </row>
    <row r="225" spans="1:5" x14ac:dyDescent="0.3">
      <c r="A225" s="26"/>
      <c r="B225" s="27" t="s">
        <v>11</v>
      </c>
      <c r="C225" s="28"/>
      <c r="D225" s="29">
        <v>164.96</v>
      </c>
    </row>
    <row r="226" spans="1:5" x14ac:dyDescent="0.3">
      <c r="A226" s="26"/>
      <c r="B226" s="27" t="s">
        <v>55</v>
      </c>
      <c r="C226" s="28"/>
      <c r="D226" s="29"/>
    </row>
    <row r="227" spans="1:5" x14ac:dyDescent="0.3">
      <c r="A227" s="26"/>
      <c r="B227" s="27" t="s">
        <v>102</v>
      </c>
      <c r="C227" s="28"/>
      <c r="D227" s="29"/>
    </row>
    <row r="228" spans="1:5" x14ac:dyDescent="0.3">
      <c r="A228" s="26"/>
      <c r="B228" s="27"/>
      <c r="C228" s="28"/>
      <c r="D228" s="29"/>
    </row>
    <row r="229" spans="1:5" x14ac:dyDescent="0.3">
      <c r="A229" s="21"/>
      <c r="B229" s="8"/>
      <c r="C229" s="1"/>
      <c r="D229" s="20"/>
    </row>
    <row r="230" spans="1:5" x14ac:dyDescent="0.3">
      <c r="A230" s="43"/>
      <c r="B230" s="44" t="s">
        <v>12</v>
      </c>
      <c r="C230" s="46">
        <f>SUM(C220:C229)</f>
        <v>1340</v>
      </c>
      <c r="D230" s="50">
        <f>SUM(D220:D229)</f>
        <v>318.39</v>
      </c>
      <c r="E230" s="57"/>
    </row>
    <row r="231" spans="1:5" x14ac:dyDescent="0.3">
      <c r="A231" s="21"/>
      <c r="B231" s="3"/>
      <c r="C231" s="3"/>
      <c r="D231" s="22"/>
    </row>
    <row r="232" spans="1:5" ht="28.2" x14ac:dyDescent="0.3">
      <c r="A232" s="21"/>
      <c r="B232" s="45"/>
      <c r="C232" s="47" t="s">
        <v>13</v>
      </c>
      <c r="D232" s="51">
        <f>+C230-D230</f>
        <v>1021.61</v>
      </c>
    </row>
    <row r="233" spans="1:5" x14ac:dyDescent="0.3">
      <c r="A233" s="21"/>
      <c r="B233" s="3"/>
      <c r="C233" s="3"/>
      <c r="D233" s="22"/>
    </row>
    <row r="234" spans="1:5" x14ac:dyDescent="0.3">
      <c r="A234" s="23"/>
      <c r="B234" s="4" t="s">
        <v>14</v>
      </c>
      <c r="C234" s="2"/>
      <c r="D234" s="24"/>
    </row>
    <row r="235" spans="1:5" ht="15" thickBot="1" x14ac:dyDescent="0.35">
      <c r="A235" s="23"/>
      <c r="B235" s="9"/>
      <c r="C235" s="9"/>
      <c r="D235" s="24"/>
    </row>
    <row r="236" spans="1:5" x14ac:dyDescent="0.3">
      <c r="A236" s="300" t="s">
        <v>28</v>
      </c>
      <c r="B236" s="300" t="s">
        <v>93</v>
      </c>
      <c r="C236" s="302" t="s">
        <v>30</v>
      </c>
      <c r="D236" s="303"/>
    </row>
    <row r="237" spans="1:5" ht="15" thickBot="1" x14ac:dyDescent="0.35">
      <c r="A237" s="301"/>
      <c r="B237" s="301"/>
      <c r="C237" s="304"/>
      <c r="D237" s="305"/>
    </row>
    <row r="238" spans="1:5" x14ac:dyDescent="0.3">
      <c r="A238" s="37"/>
      <c r="B238" s="34"/>
      <c r="C238" s="32"/>
      <c r="D238" s="25"/>
    </row>
    <row r="239" spans="1:5" x14ac:dyDescent="0.3">
      <c r="A239" s="37"/>
      <c r="B239" s="34"/>
      <c r="C239" s="32"/>
      <c r="D239" s="25"/>
    </row>
    <row r="240" spans="1:5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8" t="s">
        <v>20</v>
      </c>
      <c r="B248" s="35" t="s">
        <v>21</v>
      </c>
      <c r="C248" s="290" t="s">
        <v>21</v>
      </c>
      <c r="D248" s="291"/>
    </row>
    <row r="249" spans="1:4" ht="15" thickBot="1" x14ac:dyDescent="0.35">
      <c r="A249" s="36" t="s">
        <v>22</v>
      </c>
      <c r="B249" s="33" t="s">
        <v>23</v>
      </c>
      <c r="C249" s="292" t="s">
        <v>24</v>
      </c>
      <c r="D249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32</v>
      </c>
      <c r="C262" s="3"/>
      <c r="D262" s="12"/>
    </row>
    <row r="263" spans="1:4" x14ac:dyDescent="0.3">
      <c r="A263" s="11" t="s">
        <v>2</v>
      </c>
      <c r="B263" s="10" t="s">
        <v>27</v>
      </c>
      <c r="C263" s="4"/>
      <c r="D263" s="13"/>
    </row>
    <row r="264" spans="1:4" x14ac:dyDescent="0.3">
      <c r="A264" s="11" t="s">
        <v>3</v>
      </c>
      <c r="B264" s="3" t="s">
        <v>15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1340</v>
      </c>
      <c r="D270" s="29"/>
    </row>
    <row r="271" spans="1:4" ht="24" x14ac:dyDescent="0.3">
      <c r="A271" s="26" t="s">
        <v>104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10</v>
      </c>
      <c r="C274" s="28"/>
      <c r="D274" s="29">
        <f>C270*11.45%</f>
        <v>153.42999999999998</v>
      </c>
    </row>
    <row r="275" spans="1:4" x14ac:dyDescent="0.3">
      <c r="A275" s="26"/>
      <c r="B275" s="27" t="s">
        <v>11</v>
      </c>
      <c r="C275" s="28"/>
      <c r="D275" s="29">
        <v>163.47</v>
      </c>
    </row>
    <row r="276" spans="1:4" x14ac:dyDescent="0.3">
      <c r="A276" s="26"/>
      <c r="B276" s="27" t="s">
        <v>55</v>
      </c>
      <c r="C276" s="28"/>
      <c r="D276" s="29"/>
    </row>
    <row r="277" spans="1:4" x14ac:dyDescent="0.3">
      <c r="A277" s="26"/>
      <c r="B277" s="27" t="s">
        <v>102</v>
      </c>
      <c r="C277" s="28"/>
      <c r="D277" s="29"/>
    </row>
    <row r="278" spans="1:4" x14ac:dyDescent="0.3">
      <c r="A278" s="26"/>
      <c r="B278" s="27"/>
      <c r="C278" s="28"/>
      <c r="D278" s="29"/>
    </row>
    <row r="279" spans="1:4" x14ac:dyDescent="0.3">
      <c r="A279" s="21"/>
      <c r="B279" s="8"/>
      <c r="C279" s="1"/>
      <c r="D279" s="20"/>
    </row>
    <row r="280" spans="1:4" x14ac:dyDescent="0.3">
      <c r="A280" s="43"/>
      <c r="B280" s="44" t="s">
        <v>12</v>
      </c>
      <c r="C280" s="46">
        <f>SUM(C270:C279)</f>
        <v>1340</v>
      </c>
      <c r="D280" s="50">
        <f>SUM(D270:D279)</f>
        <v>316.89999999999998</v>
      </c>
    </row>
    <row r="281" spans="1:4" x14ac:dyDescent="0.3">
      <c r="A281" s="21"/>
      <c r="B281" s="3"/>
      <c r="C281" s="3"/>
      <c r="D281" s="22"/>
    </row>
    <row r="282" spans="1:4" ht="28.2" x14ac:dyDescent="0.3">
      <c r="A282" s="21"/>
      <c r="B282" s="45"/>
      <c r="C282" s="47" t="s">
        <v>13</v>
      </c>
      <c r="D282" s="51">
        <f>+C280-D280</f>
        <v>1023.1</v>
      </c>
    </row>
    <row r="283" spans="1:4" x14ac:dyDescent="0.3">
      <c r="A283" s="21"/>
      <c r="B283" s="3"/>
      <c r="C283" s="3"/>
      <c r="D283" s="22"/>
    </row>
    <row r="284" spans="1:4" x14ac:dyDescent="0.3">
      <c r="A284" s="23"/>
      <c r="B284" s="4" t="s">
        <v>14</v>
      </c>
      <c r="C284" s="2"/>
      <c r="D284" s="24"/>
    </row>
    <row r="285" spans="1:4" ht="15" thickBot="1" x14ac:dyDescent="0.35">
      <c r="A285" s="23"/>
      <c r="B285" s="9"/>
      <c r="C285" s="9"/>
      <c r="D285" s="24"/>
    </row>
    <row r="286" spans="1:4" x14ac:dyDescent="0.3">
      <c r="A286" s="300" t="s">
        <v>28</v>
      </c>
      <c r="B286" s="300" t="s">
        <v>93</v>
      </c>
      <c r="C286" s="302" t="s">
        <v>30</v>
      </c>
      <c r="D286" s="303"/>
    </row>
    <row r="287" spans="1:4" ht="15" thickBot="1" x14ac:dyDescent="0.35">
      <c r="A287" s="301"/>
      <c r="B287" s="301"/>
      <c r="C287" s="304"/>
      <c r="D287" s="305"/>
    </row>
    <row r="288" spans="1:4" x14ac:dyDescent="0.3">
      <c r="A288" s="37"/>
      <c r="B288" s="34"/>
      <c r="C288" s="32"/>
      <c r="D288" s="2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8" t="s">
        <v>20</v>
      </c>
      <c r="B298" s="35" t="s">
        <v>21</v>
      </c>
      <c r="C298" s="290" t="s">
        <v>21</v>
      </c>
      <c r="D298" s="291"/>
    </row>
    <row r="299" spans="1:4" ht="15" thickBot="1" x14ac:dyDescent="0.35">
      <c r="A299" s="36" t="s">
        <v>22</v>
      </c>
      <c r="B299" s="33" t="s">
        <v>23</v>
      </c>
      <c r="C299" s="292" t="s">
        <v>24</v>
      </c>
      <c r="D299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32</v>
      </c>
      <c r="C312" s="3"/>
      <c r="D312" s="12"/>
    </row>
    <row r="313" spans="1:4" x14ac:dyDescent="0.3">
      <c r="A313" s="11" t="s">
        <v>2</v>
      </c>
      <c r="B313" s="10" t="s">
        <v>27</v>
      </c>
      <c r="C313" s="4"/>
      <c r="D313" s="13"/>
    </row>
    <row r="314" spans="1:4" x14ac:dyDescent="0.3">
      <c r="A314" s="11" t="s">
        <v>3</v>
      </c>
      <c r="B314" s="3" t="s">
        <v>15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1340</v>
      </c>
      <c r="D320" s="29"/>
    </row>
    <row r="321" spans="1:4" ht="24" x14ac:dyDescent="0.3">
      <c r="A321" s="26" t="s">
        <v>104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10</v>
      </c>
      <c r="C324" s="28"/>
      <c r="D324" s="29">
        <f>C320*11.45%</f>
        <v>153.42999999999998</v>
      </c>
    </row>
    <row r="325" spans="1:4" x14ac:dyDescent="0.3">
      <c r="A325" s="26"/>
      <c r="B325" s="27" t="s">
        <v>11</v>
      </c>
      <c r="C325" s="28"/>
      <c r="D325" s="29">
        <v>161.97</v>
      </c>
    </row>
    <row r="326" spans="1:4" x14ac:dyDescent="0.3">
      <c r="A326" s="26"/>
      <c r="B326" s="27" t="s">
        <v>55</v>
      </c>
      <c r="C326" s="28"/>
      <c r="D326" s="29"/>
    </row>
    <row r="327" spans="1:4" x14ac:dyDescent="0.3">
      <c r="A327" s="26"/>
      <c r="B327" s="27" t="s">
        <v>102</v>
      </c>
      <c r="C327" s="28"/>
      <c r="D327" s="29"/>
    </row>
    <row r="328" spans="1:4" x14ac:dyDescent="0.3">
      <c r="A328" s="26"/>
      <c r="B328" s="27"/>
      <c r="C328" s="28"/>
      <c r="D328" s="29"/>
    </row>
    <row r="329" spans="1:4" x14ac:dyDescent="0.3">
      <c r="A329" s="21"/>
      <c r="B329" s="8"/>
      <c r="C329" s="1"/>
      <c r="D329" s="20"/>
    </row>
    <row r="330" spans="1:4" x14ac:dyDescent="0.3">
      <c r="A330" s="43"/>
      <c r="B330" s="44" t="s">
        <v>12</v>
      </c>
      <c r="C330" s="46">
        <f>SUM(C320:C329)</f>
        <v>1340</v>
      </c>
      <c r="D330" s="50">
        <f>SUM(D320:D329)</f>
        <v>315.39999999999998</v>
      </c>
    </row>
    <row r="331" spans="1:4" x14ac:dyDescent="0.3">
      <c r="A331" s="21"/>
      <c r="B331" s="3"/>
      <c r="C331" s="3"/>
      <c r="D331" s="22"/>
    </row>
    <row r="332" spans="1:4" ht="28.2" x14ac:dyDescent="0.3">
      <c r="A332" s="21"/>
      <c r="B332" s="45"/>
      <c r="C332" s="47" t="s">
        <v>13</v>
      </c>
      <c r="D332" s="51">
        <f>+C330-D330</f>
        <v>1024.5999999999999</v>
      </c>
    </row>
    <row r="333" spans="1:4" x14ac:dyDescent="0.3">
      <c r="A333" s="21"/>
      <c r="B333" s="3"/>
      <c r="C333" s="3"/>
      <c r="D333" s="22"/>
    </row>
    <row r="334" spans="1:4" x14ac:dyDescent="0.3">
      <c r="A334" s="23"/>
      <c r="B334" s="4" t="s">
        <v>14</v>
      </c>
      <c r="C334" s="2"/>
      <c r="D334" s="24"/>
    </row>
    <row r="335" spans="1:4" ht="15" thickBot="1" x14ac:dyDescent="0.35">
      <c r="A335" s="23"/>
      <c r="B335" s="9"/>
      <c r="C335" s="9"/>
      <c r="D335" s="24"/>
    </row>
    <row r="336" spans="1:4" x14ac:dyDescent="0.3">
      <c r="A336" s="300" t="s">
        <v>28</v>
      </c>
      <c r="B336" s="300" t="s">
        <v>93</v>
      </c>
      <c r="C336" s="302" t="s">
        <v>30</v>
      </c>
      <c r="D336" s="303"/>
    </row>
    <row r="337" spans="1:4" ht="15" thickBot="1" x14ac:dyDescent="0.35">
      <c r="A337" s="301"/>
      <c r="B337" s="301"/>
      <c r="C337" s="304"/>
      <c r="D337" s="305"/>
    </row>
    <row r="338" spans="1:4" x14ac:dyDescent="0.3">
      <c r="A338" s="37"/>
      <c r="B338" s="34"/>
      <c r="C338" s="32"/>
      <c r="D338" s="2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8" t="s">
        <v>20</v>
      </c>
      <c r="B348" s="35" t="s">
        <v>21</v>
      </c>
      <c r="C348" s="290" t="s">
        <v>21</v>
      </c>
      <c r="D348" s="291"/>
    </row>
    <row r="349" spans="1:4" ht="15" thickBot="1" x14ac:dyDescent="0.35">
      <c r="A349" s="36" t="s">
        <v>22</v>
      </c>
      <c r="B349" s="33" t="s">
        <v>23</v>
      </c>
      <c r="C349" s="292" t="s">
        <v>24</v>
      </c>
      <c r="D349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32</v>
      </c>
      <c r="C362" s="3"/>
      <c r="D362" s="12"/>
    </row>
    <row r="363" spans="1:4" x14ac:dyDescent="0.3">
      <c r="A363" s="11" t="s">
        <v>2</v>
      </c>
      <c r="B363" s="10" t="s">
        <v>27</v>
      </c>
      <c r="C363" s="4"/>
      <c r="D363" s="13"/>
    </row>
    <row r="364" spans="1:4" x14ac:dyDescent="0.3">
      <c r="A364" s="11" t="s">
        <v>3</v>
      </c>
      <c r="B364" s="3" t="s">
        <v>15</v>
      </c>
      <c r="C364" s="4"/>
      <c r="D364" s="14"/>
    </row>
    <row r="365" spans="1:4" x14ac:dyDescent="0.3">
      <c r="A365" s="11" t="s">
        <v>26</v>
      </c>
      <c r="B365" s="3" t="s">
        <v>132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ht="24" x14ac:dyDescent="0.3">
      <c r="A371" s="26" t="s">
        <v>104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(425*12)/12</f>
        <v>425</v>
      </c>
      <c r="D373" s="29"/>
    </row>
    <row r="374" spans="1:4" x14ac:dyDescent="0.3">
      <c r="A374" s="26"/>
      <c r="B374" s="27" t="s">
        <v>10</v>
      </c>
      <c r="C374" s="28"/>
      <c r="D374" s="29">
        <f>C370*11.45%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102</v>
      </c>
      <c r="C377" s="28"/>
      <c r="D377" s="29"/>
    </row>
    <row r="378" spans="1:4" x14ac:dyDescent="0.3">
      <c r="A378" s="26"/>
      <c r="B378" s="27"/>
      <c r="C378" s="28"/>
      <c r="D378" s="29"/>
    </row>
    <row r="379" spans="1:4" x14ac:dyDescent="0.3">
      <c r="A379" s="21"/>
      <c r="B379" s="8"/>
      <c r="C379" s="1"/>
      <c r="D379" s="20"/>
    </row>
    <row r="380" spans="1:4" x14ac:dyDescent="0.3">
      <c r="A380" s="43"/>
      <c r="B380" s="44" t="s">
        <v>12</v>
      </c>
      <c r="C380" s="46">
        <f>SUM(C370:C379)</f>
        <v>425</v>
      </c>
      <c r="D380" s="50">
        <f>SUM(D370:D379)</f>
        <v>0</v>
      </c>
    </row>
    <row r="381" spans="1:4" x14ac:dyDescent="0.3">
      <c r="A381" s="21"/>
      <c r="B381" s="3"/>
      <c r="C381" s="3"/>
      <c r="D381" s="22"/>
    </row>
    <row r="382" spans="1:4" ht="28.2" x14ac:dyDescent="0.3">
      <c r="A382" s="21"/>
      <c r="B382" s="45"/>
      <c r="C382" s="47" t="s">
        <v>13</v>
      </c>
      <c r="D382" s="51">
        <f>+C380-D380</f>
        <v>425</v>
      </c>
    </row>
    <row r="383" spans="1:4" x14ac:dyDescent="0.3">
      <c r="A383" s="21"/>
      <c r="B383" s="3"/>
      <c r="C383" s="3"/>
      <c r="D383" s="22"/>
    </row>
    <row r="384" spans="1:4" x14ac:dyDescent="0.3">
      <c r="A384" s="23"/>
      <c r="B384" s="4" t="s">
        <v>14</v>
      </c>
      <c r="C384" s="2"/>
      <c r="D384" s="24"/>
    </row>
    <row r="385" spans="1:4" ht="15" thickBot="1" x14ac:dyDescent="0.35">
      <c r="A385" s="23"/>
      <c r="B385" s="9"/>
      <c r="C385" s="9"/>
      <c r="D385" s="24"/>
    </row>
    <row r="386" spans="1:4" x14ac:dyDescent="0.3">
      <c r="A386" s="300" t="s">
        <v>28</v>
      </c>
      <c r="B386" s="300" t="s">
        <v>93</v>
      </c>
      <c r="C386" s="302" t="s">
        <v>30</v>
      </c>
      <c r="D386" s="303"/>
    </row>
    <row r="387" spans="1:4" ht="15" thickBot="1" x14ac:dyDescent="0.35">
      <c r="A387" s="301"/>
      <c r="B387" s="301"/>
      <c r="C387" s="304"/>
      <c r="D387" s="305"/>
    </row>
    <row r="388" spans="1:4" x14ac:dyDescent="0.3">
      <c r="A388" s="37"/>
      <c r="B388" s="34"/>
      <c r="C388" s="32"/>
      <c r="D388" s="2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8" t="s">
        <v>20</v>
      </c>
      <c r="B398" s="35" t="s">
        <v>21</v>
      </c>
      <c r="C398" s="290" t="s">
        <v>21</v>
      </c>
      <c r="D398" s="291"/>
    </row>
    <row r="399" spans="1:4" ht="15" thickBot="1" x14ac:dyDescent="0.35">
      <c r="A399" s="36" t="s">
        <v>22</v>
      </c>
      <c r="B399" s="33" t="s">
        <v>23</v>
      </c>
      <c r="C399" s="292" t="s">
        <v>24</v>
      </c>
      <c r="D399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32</v>
      </c>
      <c r="C412" s="3"/>
      <c r="D412" s="12"/>
    </row>
    <row r="413" spans="1:4" x14ac:dyDescent="0.3">
      <c r="A413" s="11" t="s">
        <v>2</v>
      </c>
      <c r="B413" s="10" t="s">
        <v>27</v>
      </c>
      <c r="C413" s="4"/>
      <c r="D413" s="13"/>
    </row>
    <row r="414" spans="1:4" x14ac:dyDescent="0.3">
      <c r="A414" s="11" t="s">
        <v>3</v>
      </c>
      <c r="B414" s="3" t="s">
        <v>15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1340</v>
      </c>
      <c r="D420" s="29"/>
    </row>
    <row r="421" spans="1:4" ht="24" x14ac:dyDescent="0.3">
      <c r="A421" s="26" t="s">
        <v>104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10</v>
      </c>
      <c r="C424" s="28"/>
      <c r="D424" s="29">
        <f>C420*11.45%</f>
        <v>153.42999999999998</v>
      </c>
    </row>
    <row r="425" spans="1:4" x14ac:dyDescent="0.3">
      <c r="A425" s="26"/>
      <c r="B425" s="27" t="s">
        <v>11</v>
      </c>
      <c r="C425" s="28"/>
      <c r="D425" s="29">
        <v>160.47</v>
      </c>
    </row>
    <row r="426" spans="1:4" x14ac:dyDescent="0.3">
      <c r="A426" s="26"/>
      <c r="B426" s="27" t="s">
        <v>55</v>
      </c>
      <c r="C426" s="28"/>
      <c r="D426" s="29"/>
    </row>
    <row r="427" spans="1:4" x14ac:dyDescent="0.3">
      <c r="A427" s="26"/>
      <c r="B427" s="27" t="s">
        <v>102</v>
      </c>
      <c r="C427" s="28"/>
      <c r="D427" s="29"/>
    </row>
    <row r="428" spans="1:4" x14ac:dyDescent="0.3">
      <c r="A428" s="26"/>
      <c r="B428" s="27"/>
      <c r="C428" s="28"/>
      <c r="D428" s="29"/>
    </row>
    <row r="429" spans="1:4" x14ac:dyDescent="0.3">
      <c r="A429" s="21"/>
      <c r="B429" s="8"/>
      <c r="C429" s="1"/>
      <c r="D429" s="20"/>
    </row>
    <row r="430" spans="1:4" x14ac:dyDescent="0.3">
      <c r="A430" s="43"/>
      <c r="B430" s="44" t="s">
        <v>12</v>
      </c>
      <c r="C430" s="46">
        <f>SUM(C420:C429)</f>
        <v>1340</v>
      </c>
      <c r="D430" s="50">
        <f>SUM(D420:D429)</f>
        <v>313.89999999999998</v>
      </c>
    </row>
    <row r="431" spans="1:4" x14ac:dyDescent="0.3">
      <c r="A431" s="21"/>
      <c r="B431" s="3"/>
      <c r="C431" s="3"/>
      <c r="D431" s="22"/>
    </row>
    <row r="432" spans="1:4" ht="28.2" x14ac:dyDescent="0.3">
      <c r="A432" s="21"/>
      <c r="B432" s="45"/>
      <c r="C432" s="47" t="s">
        <v>13</v>
      </c>
      <c r="D432" s="51">
        <f>+C430-D430</f>
        <v>1026.0999999999999</v>
      </c>
    </row>
    <row r="433" spans="1:4" x14ac:dyDescent="0.3">
      <c r="A433" s="21"/>
      <c r="B433" s="3"/>
      <c r="C433" s="3"/>
      <c r="D433" s="22"/>
    </row>
    <row r="434" spans="1:4" x14ac:dyDescent="0.3">
      <c r="A434" s="23"/>
      <c r="B434" s="4" t="s">
        <v>14</v>
      </c>
      <c r="C434" s="2"/>
      <c r="D434" s="24"/>
    </row>
    <row r="435" spans="1:4" ht="15" thickBot="1" x14ac:dyDescent="0.35">
      <c r="A435" s="23"/>
      <c r="B435" s="9"/>
      <c r="C435" s="9"/>
      <c r="D435" s="24"/>
    </row>
    <row r="436" spans="1:4" x14ac:dyDescent="0.3">
      <c r="A436" s="300" t="s">
        <v>28</v>
      </c>
      <c r="B436" s="300" t="s">
        <v>93</v>
      </c>
      <c r="C436" s="302" t="s">
        <v>30</v>
      </c>
      <c r="D436" s="303"/>
    </row>
    <row r="437" spans="1:4" ht="15" thickBot="1" x14ac:dyDescent="0.35">
      <c r="A437" s="301"/>
      <c r="B437" s="301"/>
      <c r="C437" s="304"/>
      <c r="D437" s="30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8" t="s">
        <v>20</v>
      </c>
      <c r="B448" s="35" t="s">
        <v>21</v>
      </c>
      <c r="C448" s="290" t="s">
        <v>21</v>
      </c>
      <c r="D448" s="291"/>
    </row>
    <row r="449" spans="1:4" ht="15" thickBot="1" x14ac:dyDescent="0.35">
      <c r="A449" s="36" t="s">
        <v>22</v>
      </c>
      <c r="B449" s="33" t="s">
        <v>23</v>
      </c>
      <c r="C449" s="292" t="s">
        <v>24</v>
      </c>
      <c r="D449" s="293"/>
    </row>
    <row r="454" spans="1:4" ht="15" thickBot="1" x14ac:dyDescent="0.35"/>
    <row r="455" spans="1:4" ht="25.2" x14ac:dyDescent="0.3">
      <c r="A455" s="294"/>
      <c r="B455" s="295"/>
      <c r="C455" s="295"/>
      <c r="D455" s="296"/>
    </row>
    <row r="456" spans="1:4" x14ac:dyDescent="0.3">
      <c r="A456" s="31"/>
      <c r="B456" s="48"/>
      <c r="C456" s="2"/>
      <c r="D456" s="30"/>
    </row>
    <row r="457" spans="1:4" x14ac:dyDescent="0.3">
      <c r="A457" s="31"/>
      <c r="B457" s="49"/>
      <c r="C457" s="2"/>
      <c r="D457" s="30"/>
    </row>
    <row r="458" spans="1:4" x14ac:dyDescent="0.3">
      <c r="A458" s="31"/>
      <c r="B458" s="49"/>
      <c r="C458" s="2"/>
      <c r="D458" s="30"/>
    </row>
    <row r="459" spans="1:4" ht="15" thickBot="1" x14ac:dyDescent="0.35">
      <c r="A459" s="31"/>
      <c r="B459" s="2"/>
      <c r="C459" s="2"/>
      <c r="D459" s="30"/>
    </row>
    <row r="460" spans="1:4" ht="25.8" thickBot="1" x14ac:dyDescent="0.35">
      <c r="A460" s="297" t="s">
        <v>0</v>
      </c>
      <c r="B460" s="298"/>
      <c r="C460" s="298"/>
      <c r="D460" s="299"/>
    </row>
    <row r="461" spans="1:4" ht="25.2" x14ac:dyDescent="0.3">
      <c r="A461" s="52"/>
      <c r="B461" s="53"/>
      <c r="C461" s="53"/>
      <c r="D461" s="54"/>
    </row>
    <row r="462" spans="1:4" x14ac:dyDescent="0.3">
      <c r="A462" s="11" t="s">
        <v>1</v>
      </c>
      <c r="B462" s="3" t="s">
        <v>32</v>
      </c>
      <c r="C462" s="3"/>
      <c r="D462" s="12"/>
    </row>
    <row r="463" spans="1:4" x14ac:dyDescent="0.3">
      <c r="A463" s="11" t="s">
        <v>2</v>
      </c>
      <c r="B463" s="10" t="s">
        <v>27</v>
      </c>
      <c r="C463" s="4"/>
      <c r="D463" s="13"/>
    </row>
    <row r="464" spans="1:4" x14ac:dyDescent="0.3">
      <c r="A464" s="11" t="s">
        <v>3</v>
      </c>
      <c r="B464" s="3" t="s">
        <v>15</v>
      </c>
      <c r="C464" s="4"/>
      <c r="D464" s="14"/>
    </row>
    <row r="465" spans="1:4" x14ac:dyDescent="0.3">
      <c r="A465" s="11" t="s">
        <v>26</v>
      </c>
      <c r="B465" s="3" t="s">
        <v>136</v>
      </c>
      <c r="C465" s="4"/>
      <c r="D465" s="15"/>
    </row>
    <row r="466" spans="1:4" x14ac:dyDescent="0.3">
      <c r="A466" s="11" t="s">
        <v>99</v>
      </c>
      <c r="B466" s="55">
        <v>2022</v>
      </c>
      <c r="C466" s="4"/>
      <c r="D466" s="15"/>
    </row>
    <row r="467" spans="1:4" x14ac:dyDescent="0.3">
      <c r="A467" s="16"/>
      <c r="B467" s="5"/>
      <c r="C467" s="5"/>
      <c r="D467" s="17"/>
    </row>
    <row r="468" spans="1:4" x14ac:dyDescent="0.3">
      <c r="A468" s="39" t="s">
        <v>94</v>
      </c>
      <c r="B468" s="40"/>
      <c r="C468" s="41" t="s">
        <v>5</v>
      </c>
      <c r="D468" s="42" t="s">
        <v>6</v>
      </c>
    </row>
    <row r="469" spans="1:4" x14ac:dyDescent="0.3">
      <c r="A469" s="18"/>
      <c r="B469" s="6"/>
      <c r="C469" s="7"/>
      <c r="D469" s="19"/>
    </row>
    <row r="470" spans="1:4" ht="24" x14ac:dyDescent="0.3">
      <c r="A470" s="26" t="s">
        <v>139</v>
      </c>
      <c r="B470" s="27"/>
      <c r="C470" s="28">
        <f>(1340/30)*15</f>
        <v>670</v>
      </c>
      <c r="D470" s="29"/>
    </row>
    <row r="471" spans="1:4" ht="24" x14ac:dyDescent="0.3">
      <c r="A471" s="26" t="s">
        <v>137</v>
      </c>
      <c r="B471" s="27"/>
      <c r="C471" s="28">
        <f>(1340*8.33%*9)</f>
        <v>1004.598</v>
      </c>
      <c r="D471" s="29"/>
    </row>
    <row r="472" spans="1:4" ht="24" x14ac:dyDescent="0.3">
      <c r="A472" s="26" t="s">
        <v>138</v>
      </c>
      <c r="B472" s="27"/>
      <c r="C472" s="28">
        <f>(1340/12*9)</f>
        <v>1005</v>
      </c>
      <c r="D472" s="29"/>
    </row>
    <row r="473" spans="1:4" x14ac:dyDescent="0.3">
      <c r="A473" s="26" t="s">
        <v>140</v>
      </c>
      <c r="B473" s="27"/>
      <c r="C473" s="28">
        <f>(425/12*1)</f>
        <v>35.416666666666664</v>
      </c>
      <c r="D473" s="29"/>
    </row>
    <row r="474" spans="1:4" x14ac:dyDescent="0.3">
      <c r="A474" s="26" t="s">
        <v>141</v>
      </c>
      <c r="B474" s="27"/>
      <c r="C474" s="28">
        <f>(1340/30*60)</f>
        <v>2680</v>
      </c>
      <c r="D474" s="29"/>
    </row>
    <row r="475" spans="1:4" x14ac:dyDescent="0.3">
      <c r="A475" s="26"/>
      <c r="B475" s="27" t="s">
        <v>10</v>
      </c>
      <c r="C475" s="28"/>
      <c r="D475" s="29">
        <f>C470*11.45%</f>
        <v>76.714999999999989</v>
      </c>
    </row>
    <row r="476" spans="1:4" x14ac:dyDescent="0.3">
      <c r="A476" s="26"/>
      <c r="B476" s="27" t="s">
        <v>11</v>
      </c>
      <c r="C476" s="28"/>
      <c r="D476" s="29"/>
    </row>
    <row r="477" spans="1:4" x14ac:dyDescent="0.3">
      <c r="A477" s="26"/>
      <c r="B477" s="27" t="s">
        <v>55</v>
      </c>
      <c r="C477" s="28"/>
      <c r="D477" s="29"/>
    </row>
    <row r="478" spans="1:4" x14ac:dyDescent="0.3">
      <c r="A478" s="26"/>
      <c r="B478" s="27" t="s">
        <v>102</v>
      </c>
      <c r="C478" s="28"/>
      <c r="D478" s="29"/>
    </row>
    <row r="479" spans="1:4" x14ac:dyDescent="0.3">
      <c r="A479" s="26"/>
      <c r="B479" s="27"/>
      <c r="C479" s="28"/>
      <c r="D479" s="29"/>
    </row>
    <row r="480" spans="1:4" x14ac:dyDescent="0.3">
      <c r="A480" s="21"/>
      <c r="B480" s="8"/>
      <c r="C480" s="1"/>
      <c r="D480" s="20"/>
    </row>
    <row r="481" spans="1:4" x14ac:dyDescent="0.3">
      <c r="A481" s="43"/>
      <c r="B481" s="44" t="s">
        <v>12</v>
      </c>
      <c r="C481" s="46">
        <f>SUM(C470:C480)</f>
        <v>5395.014666666666</v>
      </c>
      <c r="D481" s="50">
        <f>SUM(D470:D480)</f>
        <v>76.714999999999989</v>
      </c>
    </row>
    <row r="482" spans="1:4" x14ac:dyDescent="0.3">
      <c r="A482" s="21"/>
      <c r="B482" s="3"/>
      <c r="C482" s="3"/>
      <c r="D482" s="22"/>
    </row>
    <row r="483" spans="1:4" ht="28.2" x14ac:dyDescent="0.3">
      <c r="A483" s="21"/>
      <c r="B483" s="45"/>
      <c r="C483" s="47" t="s">
        <v>13</v>
      </c>
      <c r="D483" s="51">
        <f>+C481-D481</f>
        <v>5318.2996666666659</v>
      </c>
    </row>
    <row r="484" spans="1:4" x14ac:dyDescent="0.3">
      <c r="A484" s="21"/>
      <c r="B484" s="3"/>
      <c r="C484" s="3"/>
      <c r="D484" s="22"/>
    </row>
    <row r="485" spans="1:4" x14ac:dyDescent="0.3">
      <c r="A485" s="23"/>
      <c r="B485" s="4" t="s">
        <v>14</v>
      </c>
      <c r="C485" s="2"/>
      <c r="D485" s="24"/>
    </row>
    <row r="486" spans="1:4" ht="15" thickBot="1" x14ac:dyDescent="0.35">
      <c r="A486" s="23"/>
      <c r="B486" s="9"/>
      <c r="C486" s="9"/>
      <c r="D486" s="24"/>
    </row>
    <row r="487" spans="1:4" x14ac:dyDescent="0.3">
      <c r="A487" s="300" t="s">
        <v>28</v>
      </c>
      <c r="B487" s="300" t="s">
        <v>93</v>
      </c>
      <c r="C487" s="302" t="s">
        <v>30</v>
      </c>
      <c r="D487" s="303"/>
    </row>
    <row r="488" spans="1:4" ht="15" thickBot="1" x14ac:dyDescent="0.35">
      <c r="A488" s="301"/>
      <c r="B488" s="301"/>
      <c r="C488" s="304"/>
      <c r="D488" s="305"/>
    </row>
    <row r="489" spans="1:4" x14ac:dyDescent="0.3">
      <c r="A489" s="37"/>
      <c r="B489" s="34"/>
      <c r="C489" s="32"/>
      <c r="D489" s="25"/>
    </row>
    <row r="490" spans="1:4" x14ac:dyDescent="0.3">
      <c r="A490" s="37"/>
      <c r="B490" s="34"/>
      <c r="C490" s="32"/>
      <c r="D490" s="25"/>
    </row>
    <row r="491" spans="1:4" x14ac:dyDescent="0.3">
      <c r="A491" s="37"/>
      <c r="B491" s="34"/>
      <c r="C491" s="32"/>
      <c r="D491" s="25"/>
    </row>
    <row r="492" spans="1:4" x14ac:dyDescent="0.3">
      <c r="A492" s="37"/>
      <c r="B492" s="34"/>
      <c r="C492" s="32"/>
      <c r="D492" s="25"/>
    </row>
    <row r="493" spans="1:4" x14ac:dyDescent="0.3">
      <c r="A493" s="37"/>
      <c r="B493" s="34"/>
      <c r="C493" s="32"/>
      <c r="D493" s="25"/>
    </row>
    <row r="494" spans="1:4" x14ac:dyDescent="0.3">
      <c r="A494" s="37"/>
      <c r="B494" s="34"/>
      <c r="C494" s="32"/>
      <c r="D494" s="25"/>
    </row>
    <row r="495" spans="1:4" x14ac:dyDescent="0.3">
      <c r="A495" s="37"/>
      <c r="B495" s="34"/>
      <c r="C495" s="32"/>
      <c r="D495" s="25"/>
    </row>
    <row r="496" spans="1:4" x14ac:dyDescent="0.3">
      <c r="A496" s="37"/>
      <c r="B496" s="34"/>
      <c r="C496" s="32"/>
      <c r="D496" s="25"/>
    </row>
    <row r="497" spans="1:4" x14ac:dyDescent="0.3">
      <c r="A497" s="37"/>
      <c r="B497" s="34"/>
      <c r="C497" s="32"/>
      <c r="D497" s="25"/>
    </row>
    <row r="498" spans="1:4" x14ac:dyDescent="0.3">
      <c r="A498" s="37"/>
      <c r="B498" s="34"/>
      <c r="C498" s="32"/>
      <c r="D498" s="25"/>
    </row>
    <row r="499" spans="1:4" x14ac:dyDescent="0.3">
      <c r="A499" s="38" t="s">
        <v>20</v>
      </c>
      <c r="B499" s="35" t="s">
        <v>21</v>
      </c>
      <c r="C499" s="290" t="s">
        <v>21</v>
      </c>
      <c r="D499" s="291"/>
    </row>
    <row r="500" spans="1:4" ht="15" thickBot="1" x14ac:dyDescent="0.35">
      <c r="A500" s="36" t="s">
        <v>22</v>
      </c>
      <c r="B500" s="33" t="s">
        <v>23</v>
      </c>
      <c r="C500" s="292" t="s">
        <v>24</v>
      </c>
      <c r="D500" s="293"/>
    </row>
  </sheetData>
  <mergeCells count="70">
    <mergeCell ref="C448:D448"/>
    <mergeCell ref="C449:D449"/>
    <mergeCell ref="A405:D405"/>
    <mergeCell ref="A410:D410"/>
    <mergeCell ref="A436:A437"/>
    <mergeCell ref="B436:B437"/>
    <mergeCell ref="C436:D437"/>
    <mergeCell ref="C348:D348"/>
    <mergeCell ref="C349:D349"/>
    <mergeCell ref="A305:D305"/>
    <mergeCell ref="A310:D310"/>
    <mergeCell ref="A336:A337"/>
    <mergeCell ref="B336:B337"/>
    <mergeCell ref="C336:D337"/>
    <mergeCell ref="C298:D298"/>
    <mergeCell ref="C299:D299"/>
    <mergeCell ref="A255:D255"/>
    <mergeCell ref="A260:D260"/>
    <mergeCell ref="A286:A287"/>
    <mergeCell ref="B286:B287"/>
    <mergeCell ref="C286:D287"/>
    <mergeCell ref="C148:D148"/>
    <mergeCell ref="C149:D149"/>
    <mergeCell ref="A105:D105"/>
    <mergeCell ref="A110:D110"/>
    <mergeCell ref="A136:A137"/>
    <mergeCell ref="B136:B137"/>
    <mergeCell ref="C136:D137"/>
    <mergeCell ref="C98:D98"/>
    <mergeCell ref="C99:D99"/>
    <mergeCell ref="A55:D55"/>
    <mergeCell ref="A60:D60"/>
    <mergeCell ref="A86:A87"/>
    <mergeCell ref="B86:B87"/>
    <mergeCell ref="C86:D87"/>
    <mergeCell ref="C46:D46"/>
    <mergeCell ref="C47:D47"/>
    <mergeCell ref="A3:D3"/>
    <mergeCell ref="A8:D8"/>
    <mergeCell ref="A34:A35"/>
    <mergeCell ref="B34:B35"/>
    <mergeCell ref="C34:D35"/>
    <mergeCell ref="C198:D198"/>
    <mergeCell ref="C199:D199"/>
    <mergeCell ref="A155:D155"/>
    <mergeCell ref="A160:D160"/>
    <mergeCell ref="A186:A187"/>
    <mergeCell ref="B186:B187"/>
    <mergeCell ref="C186:D187"/>
    <mergeCell ref="C248:D248"/>
    <mergeCell ref="C249:D249"/>
    <mergeCell ref="A205:D205"/>
    <mergeCell ref="A210:D210"/>
    <mergeCell ref="A236:A237"/>
    <mergeCell ref="B236:B237"/>
    <mergeCell ref="C236:D237"/>
    <mergeCell ref="C398:D398"/>
    <mergeCell ref="C399:D399"/>
    <mergeCell ref="A355:D355"/>
    <mergeCell ref="A360:D360"/>
    <mergeCell ref="A386:A387"/>
    <mergeCell ref="B386:B387"/>
    <mergeCell ref="C386:D387"/>
    <mergeCell ref="C499:D499"/>
    <mergeCell ref="C500:D500"/>
    <mergeCell ref="A455:D455"/>
    <mergeCell ref="A460:D460"/>
    <mergeCell ref="A487:A488"/>
    <mergeCell ref="B487:B488"/>
    <mergeCell ref="C487:D488"/>
  </mergeCells>
  <pageMargins left="0.70866141732283472" right="0.70866141732283472" top="0.74803149606299213" bottom="0.74803149606299213" header="0.31496062992125984" footer="0.31496062992125984"/>
  <pageSetup scale="87"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D450"/>
  <sheetViews>
    <sheetView topLeftCell="A410" zoomScale="90" zoomScaleNormal="90" workbookViewId="0">
      <selection activeCell="E420" sqref="E420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61</v>
      </c>
      <c r="C9" s="3"/>
      <c r="D9" s="12"/>
    </row>
    <row r="10" spans="1:4" x14ac:dyDescent="0.3">
      <c r="A10" s="11" t="s">
        <v>2</v>
      </c>
      <c r="B10" s="55">
        <v>2250187560</v>
      </c>
      <c r="C10" s="4"/>
      <c r="D10" s="13"/>
    </row>
    <row r="11" spans="1:4" x14ac:dyDescent="0.3">
      <c r="A11" s="11" t="s">
        <v>3</v>
      </c>
      <c r="B11" s="3" t="s">
        <v>62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4" x14ac:dyDescent="0.3">
      <c r="A17" s="26" t="s">
        <v>16</v>
      </c>
      <c r="B17" s="27"/>
      <c r="C17" s="28">
        <v>527</v>
      </c>
      <c r="D17" s="29"/>
    </row>
    <row r="18" spans="1:4" ht="24" x14ac:dyDescent="0.3">
      <c r="A18" s="26" t="s">
        <v>105</v>
      </c>
      <c r="B18" s="27"/>
      <c r="C18" s="28"/>
      <c r="D18" s="29"/>
    </row>
    <row r="19" spans="1:4" x14ac:dyDescent="0.3">
      <c r="A19" s="26" t="s">
        <v>8</v>
      </c>
      <c r="B19" s="27"/>
      <c r="C19" s="28"/>
      <c r="D19" s="29"/>
    </row>
    <row r="20" spans="1:4" x14ac:dyDescent="0.3">
      <c r="A20" s="26" t="s">
        <v>9</v>
      </c>
      <c r="B20" s="27"/>
      <c r="C20" s="28"/>
      <c r="D20" s="29"/>
    </row>
    <row r="21" spans="1:4" x14ac:dyDescent="0.3">
      <c r="A21" s="26"/>
      <c r="B21" s="27" t="s">
        <v>10</v>
      </c>
      <c r="C21" s="28"/>
      <c r="D21" s="29">
        <f>C17*11.45%</f>
        <v>60.341499999999996</v>
      </c>
    </row>
    <row r="22" spans="1:4" x14ac:dyDescent="0.3">
      <c r="A22" s="26"/>
      <c r="B22" s="27" t="s">
        <v>11</v>
      </c>
      <c r="C22" s="28"/>
      <c r="D22" s="29"/>
    </row>
    <row r="23" spans="1:4" x14ac:dyDescent="0.3">
      <c r="A23" s="26"/>
      <c r="B23" s="27" t="s">
        <v>55</v>
      </c>
      <c r="C23" s="28"/>
      <c r="D23" s="29"/>
    </row>
    <row r="24" spans="1:4" x14ac:dyDescent="0.3">
      <c r="A24" s="26"/>
      <c r="B24" s="27" t="s">
        <v>102</v>
      </c>
      <c r="C24" s="28"/>
      <c r="D24" s="29"/>
    </row>
    <row r="25" spans="1:4" x14ac:dyDescent="0.3">
      <c r="A25" s="26"/>
      <c r="B25" s="27" t="s">
        <v>18</v>
      </c>
      <c r="C25" s="28"/>
      <c r="D25" s="29"/>
    </row>
    <row r="26" spans="1:4" x14ac:dyDescent="0.3">
      <c r="A26" s="26"/>
      <c r="B26" s="27"/>
      <c r="C26" s="28"/>
      <c r="D26" s="29"/>
    </row>
    <row r="27" spans="1:4" x14ac:dyDescent="0.3">
      <c r="A27" s="21"/>
      <c r="B27" s="8"/>
      <c r="C27" s="1"/>
      <c r="D27" s="20"/>
    </row>
    <row r="28" spans="1:4" x14ac:dyDescent="0.3">
      <c r="A28" s="43"/>
      <c r="B28" s="44" t="s">
        <v>12</v>
      </c>
      <c r="C28" s="46">
        <f>SUM(C17:C27)</f>
        <v>527</v>
      </c>
      <c r="D28" s="50">
        <f>SUM(D17:D27)</f>
        <v>60.341499999999996</v>
      </c>
    </row>
    <row r="29" spans="1:4" x14ac:dyDescent="0.3">
      <c r="A29" s="21"/>
      <c r="B29" s="3"/>
      <c r="C29" s="3"/>
      <c r="D29" s="22"/>
    </row>
    <row r="30" spans="1:4" ht="28.2" x14ac:dyDescent="0.3">
      <c r="A30" s="21"/>
      <c r="B30" s="45"/>
      <c r="C30" s="47" t="s">
        <v>13</v>
      </c>
      <c r="D30" s="51">
        <f>+C28-D28</f>
        <v>466.6585</v>
      </c>
    </row>
    <row r="31" spans="1:4" x14ac:dyDescent="0.3">
      <c r="A31" s="21"/>
      <c r="B31" s="3"/>
      <c r="C31" s="3"/>
      <c r="D31" s="22"/>
    </row>
    <row r="32" spans="1:4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64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63</v>
      </c>
      <c r="D47" s="293"/>
    </row>
    <row r="52" spans="1:4" ht="15" thickBot="1" x14ac:dyDescent="0.35"/>
    <row r="53" spans="1:4" ht="25.2" x14ac:dyDescent="0.3">
      <c r="A53" s="294"/>
      <c r="B53" s="295"/>
      <c r="C53" s="295"/>
      <c r="D53" s="296"/>
    </row>
    <row r="54" spans="1:4" x14ac:dyDescent="0.3">
      <c r="A54" s="31"/>
      <c r="B54" s="48"/>
      <c r="C54" s="2"/>
      <c r="D54" s="30"/>
    </row>
    <row r="55" spans="1:4" x14ac:dyDescent="0.3">
      <c r="A55" s="31"/>
      <c r="B55" s="49"/>
      <c r="C55" s="2"/>
      <c r="D55" s="30"/>
    </row>
    <row r="56" spans="1:4" x14ac:dyDescent="0.3">
      <c r="A56" s="31"/>
      <c r="B56" s="49"/>
      <c r="C56" s="2"/>
      <c r="D56" s="30"/>
    </row>
    <row r="57" spans="1:4" ht="15" thickBot="1" x14ac:dyDescent="0.35">
      <c r="A57" s="31"/>
      <c r="B57" s="2"/>
      <c r="C57" s="2"/>
      <c r="D57" s="30"/>
    </row>
    <row r="58" spans="1:4" ht="25.8" thickBot="1" x14ac:dyDescent="0.35">
      <c r="A58" s="297" t="s">
        <v>0</v>
      </c>
      <c r="B58" s="298"/>
      <c r="C58" s="298"/>
      <c r="D58" s="299"/>
    </row>
    <row r="59" spans="1:4" ht="25.2" x14ac:dyDescent="0.3">
      <c r="A59" s="52"/>
      <c r="B59" s="53"/>
      <c r="C59" s="53"/>
      <c r="D59" s="54"/>
    </row>
    <row r="60" spans="1:4" x14ac:dyDescent="0.3">
      <c r="A60" s="11" t="s">
        <v>1</v>
      </c>
      <c r="B60" s="3" t="s">
        <v>61</v>
      </c>
      <c r="C60" s="3"/>
      <c r="D60" s="12"/>
    </row>
    <row r="61" spans="1:4" x14ac:dyDescent="0.3">
      <c r="A61" s="11" t="s">
        <v>2</v>
      </c>
      <c r="B61" s="55">
        <v>2250187560</v>
      </c>
      <c r="C61" s="4"/>
      <c r="D61" s="13"/>
    </row>
    <row r="62" spans="1:4" x14ac:dyDescent="0.3">
      <c r="A62" s="11" t="s">
        <v>3</v>
      </c>
      <c r="B62" s="3" t="s">
        <v>62</v>
      </c>
      <c r="C62" s="4"/>
      <c r="D62" s="14"/>
    </row>
    <row r="63" spans="1:4" x14ac:dyDescent="0.3">
      <c r="A63" s="11" t="s">
        <v>26</v>
      </c>
      <c r="B63" s="3" t="s">
        <v>112</v>
      </c>
      <c r="C63" s="4"/>
      <c r="D63" s="15"/>
    </row>
    <row r="64" spans="1:4" x14ac:dyDescent="0.3">
      <c r="A64" s="11" t="s">
        <v>99</v>
      </c>
      <c r="B64" s="55">
        <v>2022</v>
      </c>
      <c r="C64" s="4"/>
      <c r="D64" s="15"/>
    </row>
    <row r="65" spans="1:4" x14ac:dyDescent="0.3">
      <c r="A65" s="16"/>
      <c r="B65" s="5"/>
      <c r="C65" s="5"/>
      <c r="D65" s="17"/>
    </row>
    <row r="66" spans="1:4" x14ac:dyDescent="0.3">
      <c r="A66" s="39" t="s">
        <v>94</v>
      </c>
      <c r="B66" s="40"/>
      <c r="C66" s="41" t="s">
        <v>5</v>
      </c>
      <c r="D66" s="42" t="s">
        <v>6</v>
      </c>
    </row>
    <row r="67" spans="1:4" x14ac:dyDescent="0.3">
      <c r="A67" s="18"/>
      <c r="B67" s="6"/>
      <c r="C67" s="7"/>
      <c r="D67" s="19"/>
    </row>
    <row r="68" spans="1:4" x14ac:dyDescent="0.3">
      <c r="A68" s="26" t="s">
        <v>16</v>
      </c>
      <c r="B68" s="27"/>
      <c r="C68" s="28">
        <v>527</v>
      </c>
      <c r="D68" s="29"/>
    </row>
    <row r="69" spans="1:4" ht="24" x14ac:dyDescent="0.3">
      <c r="A69" s="26" t="s">
        <v>105</v>
      </c>
      <c r="B69" s="27"/>
      <c r="C69" s="28"/>
      <c r="D69" s="29"/>
    </row>
    <row r="70" spans="1:4" x14ac:dyDescent="0.3">
      <c r="A70" s="26" t="s">
        <v>8</v>
      </c>
      <c r="B70" s="27"/>
      <c r="C70" s="28"/>
      <c r="D70" s="29"/>
    </row>
    <row r="71" spans="1:4" x14ac:dyDescent="0.3">
      <c r="A71" s="26" t="s">
        <v>9</v>
      </c>
      <c r="B71" s="27"/>
      <c r="C71" s="28"/>
      <c r="D71" s="29"/>
    </row>
    <row r="72" spans="1:4" x14ac:dyDescent="0.3">
      <c r="A72" s="26"/>
      <c r="B72" s="27" t="s">
        <v>10</v>
      </c>
      <c r="C72" s="28"/>
      <c r="D72" s="29">
        <f>C68*11.45%</f>
        <v>60.341499999999996</v>
      </c>
    </row>
    <row r="73" spans="1:4" x14ac:dyDescent="0.3">
      <c r="A73" s="26"/>
      <c r="B73" s="27" t="s">
        <v>11</v>
      </c>
      <c r="C73" s="28"/>
      <c r="D73" s="29"/>
    </row>
    <row r="74" spans="1:4" x14ac:dyDescent="0.3">
      <c r="A74" s="26"/>
      <c r="B74" s="27" t="s">
        <v>55</v>
      </c>
      <c r="C74" s="28"/>
      <c r="D74" s="29"/>
    </row>
    <row r="75" spans="1:4" x14ac:dyDescent="0.3">
      <c r="A75" s="26"/>
      <c r="B75" s="27" t="s">
        <v>102</v>
      </c>
      <c r="C75" s="28"/>
      <c r="D75" s="29"/>
    </row>
    <row r="76" spans="1:4" x14ac:dyDescent="0.3">
      <c r="A76" s="26"/>
      <c r="B76" s="27" t="s">
        <v>18</v>
      </c>
      <c r="C76" s="28"/>
      <c r="D76" s="29"/>
    </row>
    <row r="77" spans="1:4" x14ac:dyDescent="0.3">
      <c r="A77" s="26"/>
      <c r="B77" s="27"/>
      <c r="C77" s="28"/>
      <c r="D77" s="29"/>
    </row>
    <row r="78" spans="1:4" x14ac:dyDescent="0.3">
      <c r="A78" s="21"/>
      <c r="B78" s="8"/>
      <c r="C78" s="1"/>
      <c r="D78" s="20"/>
    </row>
    <row r="79" spans="1:4" x14ac:dyDescent="0.3">
      <c r="A79" s="43"/>
      <c r="B79" s="44" t="s">
        <v>12</v>
      </c>
      <c r="C79" s="46">
        <f>SUM(C68:C78)</f>
        <v>527</v>
      </c>
      <c r="D79" s="50">
        <f>SUM(D68:D78)</f>
        <v>60.341499999999996</v>
      </c>
    </row>
    <row r="80" spans="1:4" x14ac:dyDescent="0.3">
      <c r="A80" s="21"/>
      <c r="B80" s="3"/>
      <c r="C80" s="3"/>
      <c r="D80" s="22"/>
    </row>
    <row r="81" spans="1:4" ht="28.2" x14ac:dyDescent="0.3">
      <c r="A81" s="21"/>
      <c r="B81" s="45"/>
      <c r="C81" s="47" t="s">
        <v>13</v>
      </c>
      <c r="D81" s="51">
        <f>+C79-D79</f>
        <v>466.6585</v>
      </c>
    </row>
    <row r="82" spans="1:4" x14ac:dyDescent="0.3">
      <c r="A82" s="21"/>
      <c r="B82" s="3"/>
      <c r="C82" s="3"/>
      <c r="D82" s="22"/>
    </row>
    <row r="83" spans="1:4" x14ac:dyDescent="0.3">
      <c r="A83" s="23"/>
      <c r="B83" s="4" t="s">
        <v>14</v>
      </c>
      <c r="C83" s="2"/>
      <c r="D83" s="24"/>
    </row>
    <row r="84" spans="1:4" ht="15" thickBot="1" x14ac:dyDescent="0.35">
      <c r="A84" s="23"/>
      <c r="B84" s="9"/>
      <c r="C84" s="9"/>
      <c r="D84" s="24"/>
    </row>
    <row r="85" spans="1:4" x14ac:dyDescent="0.3">
      <c r="A85" s="300" t="s">
        <v>28</v>
      </c>
      <c r="B85" s="300" t="s">
        <v>93</v>
      </c>
      <c r="C85" s="302" t="s">
        <v>30</v>
      </c>
      <c r="D85" s="303"/>
    </row>
    <row r="86" spans="1:4" ht="15" thickBot="1" x14ac:dyDescent="0.35">
      <c r="A86" s="301"/>
      <c r="B86" s="301"/>
      <c r="C86" s="304"/>
      <c r="D86" s="305"/>
    </row>
    <row r="87" spans="1:4" x14ac:dyDescent="0.3">
      <c r="A87" s="37"/>
      <c r="B87" s="34"/>
      <c r="C87" s="32"/>
      <c r="D87" s="2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8" t="s">
        <v>20</v>
      </c>
      <c r="B97" s="35" t="s">
        <v>21</v>
      </c>
      <c r="C97" s="290" t="s">
        <v>64</v>
      </c>
      <c r="D97" s="291"/>
    </row>
    <row r="98" spans="1:4" ht="15" thickBot="1" x14ac:dyDescent="0.35">
      <c r="A98" s="36" t="s">
        <v>22</v>
      </c>
      <c r="B98" s="33" t="s">
        <v>23</v>
      </c>
      <c r="C98" s="292" t="s">
        <v>63</v>
      </c>
      <c r="D98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61</v>
      </c>
      <c r="C112" s="3"/>
      <c r="D112" s="12"/>
    </row>
    <row r="113" spans="1:4" x14ac:dyDescent="0.3">
      <c r="A113" s="11" t="s">
        <v>2</v>
      </c>
      <c r="B113" s="55">
        <v>2250187560</v>
      </c>
      <c r="C113" s="4"/>
      <c r="D113" s="13"/>
    </row>
    <row r="114" spans="1:4" x14ac:dyDescent="0.3">
      <c r="A114" s="11" t="s">
        <v>3</v>
      </c>
      <c r="B114" s="3" t="s">
        <v>62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527</v>
      </c>
      <c r="D120" s="29"/>
    </row>
    <row r="121" spans="1:4" ht="24" x14ac:dyDescent="0.3">
      <c r="A121" s="26" t="s">
        <v>105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60.341499999999996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/>
    </row>
    <row r="127" spans="1:4" x14ac:dyDescent="0.3">
      <c r="A127" s="26"/>
      <c r="B127" s="27" t="s">
        <v>102</v>
      </c>
      <c r="C127" s="28"/>
      <c r="D127" s="29"/>
    </row>
    <row r="128" spans="1:4" x14ac:dyDescent="0.3">
      <c r="A128" s="26"/>
      <c r="B128" s="27" t="s">
        <v>18</v>
      </c>
      <c r="C128" s="28"/>
      <c r="D128" s="29"/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527</v>
      </c>
      <c r="D131" s="50">
        <f>SUM(D120:D130)</f>
        <v>60.341499999999996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466.6585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93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8" t="s">
        <v>20</v>
      </c>
      <c r="B149" s="35" t="s">
        <v>21</v>
      </c>
      <c r="C149" s="290" t="s">
        <v>64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63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61</v>
      </c>
      <c r="C162" s="3"/>
      <c r="D162" s="12"/>
    </row>
    <row r="163" spans="1:4" x14ac:dyDescent="0.3">
      <c r="A163" s="11" t="s">
        <v>2</v>
      </c>
      <c r="B163" s="55">
        <v>2250187560</v>
      </c>
      <c r="C163" s="4"/>
      <c r="D163" s="13"/>
    </row>
    <row r="164" spans="1:4" x14ac:dyDescent="0.3">
      <c r="A164" s="11" t="s">
        <v>3</v>
      </c>
      <c r="B164" s="3" t="s">
        <v>62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527</v>
      </c>
      <c r="D170" s="29"/>
    </row>
    <row r="171" spans="1:4" ht="24" x14ac:dyDescent="0.3">
      <c r="A171" s="26" t="s">
        <v>105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10</v>
      </c>
      <c r="C174" s="28"/>
      <c r="D174" s="29">
        <f>C170*11.45%</f>
        <v>60.341499999999996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55</v>
      </c>
      <c r="C176" s="28"/>
      <c r="D176" s="29"/>
    </row>
    <row r="177" spans="1:4" x14ac:dyDescent="0.3">
      <c r="A177" s="26"/>
      <c r="B177" s="27" t="s">
        <v>102</v>
      </c>
      <c r="C177" s="28"/>
      <c r="D177" s="29"/>
    </row>
    <row r="178" spans="1:4" x14ac:dyDescent="0.3">
      <c r="A178" s="26"/>
      <c r="B178" s="27" t="s">
        <v>18</v>
      </c>
      <c r="C178" s="28"/>
      <c r="D178" s="29"/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527</v>
      </c>
      <c r="D181" s="50">
        <f>SUM(D170:D180)</f>
        <v>60.341499999999996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466.6585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93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64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63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61</v>
      </c>
      <c r="C212" s="3"/>
      <c r="D212" s="12"/>
    </row>
    <row r="213" spans="1:4" x14ac:dyDescent="0.3">
      <c r="A213" s="11" t="s">
        <v>2</v>
      </c>
      <c r="B213" s="55">
        <v>2250187560</v>
      </c>
      <c r="C213" s="4"/>
      <c r="D213" s="13"/>
    </row>
    <row r="214" spans="1:4" x14ac:dyDescent="0.3">
      <c r="A214" s="11" t="s">
        <v>3</v>
      </c>
      <c r="B214" s="3" t="s">
        <v>62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527</v>
      </c>
      <c r="D220" s="29"/>
    </row>
    <row r="221" spans="1:4" ht="24" x14ac:dyDescent="0.3">
      <c r="A221" s="26" t="s">
        <v>105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60.341499999999996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55</v>
      </c>
      <c r="C226" s="28"/>
      <c r="D226" s="29"/>
    </row>
    <row r="227" spans="1:4" x14ac:dyDescent="0.3">
      <c r="A227" s="26"/>
      <c r="B227" s="27" t="s">
        <v>102</v>
      </c>
      <c r="C227" s="28"/>
      <c r="D227" s="29"/>
    </row>
    <row r="228" spans="1:4" x14ac:dyDescent="0.3">
      <c r="A228" s="26"/>
      <c r="B228" s="27" t="s">
        <v>18</v>
      </c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527</v>
      </c>
      <c r="D231" s="50">
        <f>SUM(D220:D230)</f>
        <v>60.341499999999996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466.6585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93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64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63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61</v>
      </c>
      <c r="C262" s="3"/>
      <c r="D262" s="12"/>
    </row>
    <row r="263" spans="1:4" x14ac:dyDescent="0.3">
      <c r="A263" s="11" t="s">
        <v>2</v>
      </c>
      <c r="B263" s="55">
        <v>2250187560</v>
      </c>
      <c r="C263" s="4"/>
      <c r="D263" s="13"/>
    </row>
    <row r="264" spans="1:4" x14ac:dyDescent="0.3">
      <c r="A264" s="11" t="s">
        <v>3</v>
      </c>
      <c r="B264" s="3" t="s">
        <v>62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527</v>
      </c>
      <c r="D270" s="29"/>
    </row>
    <row r="271" spans="1:4" ht="24" x14ac:dyDescent="0.3">
      <c r="A271" s="26" t="s">
        <v>105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10</v>
      </c>
      <c r="C274" s="28"/>
      <c r="D274" s="29">
        <f>C270*11.45%</f>
        <v>60.341499999999996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55</v>
      </c>
      <c r="C276" s="28"/>
      <c r="D276" s="29">
        <v>263.5</v>
      </c>
    </row>
    <row r="277" spans="1:4" x14ac:dyDescent="0.3">
      <c r="A277" s="26"/>
      <c r="B277" s="27" t="s">
        <v>102</v>
      </c>
      <c r="C277" s="28"/>
      <c r="D277" s="29"/>
    </row>
    <row r="278" spans="1:4" x14ac:dyDescent="0.3">
      <c r="A278" s="26"/>
      <c r="B278" s="27" t="s">
        <v>18</v>
      </c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527</v>
      </c>
      <c r="D281" s="50">
        <f>SUM(D270:D280)</f>
        <v>323.8415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203.1585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93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64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63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61</v>
      </c>
      <c r="C312" s="3"/>
      <c r="D312" s="12"/>
    </row>
    <row r="313" spans="1:4" x14ac:dyDescent="0.3">
      <c r="A313" s="11" t="s">
        <v>2</v>
      </c>
      <c r="B313" s="55">
        <v>2250187560</v>
      </c>
      <c r="C313" s="4"/>
      <c r="D313" s="13"/>
    </row>
    <row r="314" spans="1:4" x14ac:dyDescent="0.3">
      <c r="A314" s="11" t="s">
        <v>3</v>
      </c>
      <c r="B314" s="3" t="s">
        <v>62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527</v>
      </c>
      <c r="D320" s="29"/>
    </row>
    <row r="321" spans="1:4" ht="24" x14ac:dyDescent="0.3">
      <c r="A321" s="26" t="s">
        <v>105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10</v>
      </c>
      <c r="C324" s="28"/>
      <c r="D324" s="29">
        <f>C320*11.45%</f>
        <v>60.341499999999996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55</v>
      </c>
      <c r="C326" s="28"/>
      <c r="D326" s="29">
        <v>263.5</v>
      </c>
    </row>
    <row r="327" spans="1:4" x14ac:dyDescent="0.3">
      <c r="A327" s="26"/>
      <c r="B327" s="27" t="s">
        <v>102</v>
      </c>
      <c r="C327" s="28"/>
      <c r="D327" s="29"/>
    </row>
    <row r="328" spans="1:4" x14ac:dyDescent="0.3">
      <c r="A328" s="26"/>
      <c r="B328" s="27" t="s">
        <v>18</v>
      </c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527</v>
      </c>
      <c r="D331" s="50">
        <f>SUM(D320:D330)</f>
        <v>323.8415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203.1585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93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64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63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61</v>
      </c>
      <c r="C362" s="3"/>
      <c r="D362" s="12"/>
    </row>
    <row r="363" spans="1:4" x14ac:dyDescent="0.3">
      <c r="A363" s="11" t="s">
        <v>2</v>
      </c>
      <c r="B363" s="55">
        <v>2250187560</v>
      </c>
      <c r="C363" s="4"/>
      <c r="D363" s="13"/>
    </row>
    <row r="364" spans="1:4" x14ac:dyDescent="0.3">
      <c r="A364" s="11" t="s">
        <v>3</v>
      </c>
      <c r="B364" s="3" t="s">
        <v>62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ht="24" x14ac:dyDescent="0.3">
      <c r="A371" s="26" t="s">
        <v>105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10</v>
      </c>
      <c r="C374" s="28"/>
      <c r="D374" s="29">
        <f>C370*11.45%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102</v>
      </c>
      <c r="C377" s="28"/>
      <c r="D377" s="29"/>
    </row>
    <row r="378" spans="1:4" x14ac:dyDescent="0.3">
      <c r="A378" s="26"/>
      <c r="B378" s="27" t="s">
        <v>18</v>
      </c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425</v>
      </c>
      <c r="D381" s="50">
        <f>SUM(D370:D380)</f>
        <v>0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425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93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64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63</v>
      </c>
      <c r="D400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61</v>
      </c>
      <c r="C412" s="3"/>
      <c r="D412" s="12"/>
    </row>
    <row r="413" spans="1:4" x14ac:dyDescent="0.3">
      <c r="A413" s="11" t="s">
        <v>2</v>
      </c>
      <c r="B413" s="55">
        <v>2250187560</v>
      </c>
      <c r="C413" s="4"/>
      <c r="D413" s="13"/>
    </row>
    <row r="414" spans="1:4" x14ac:dyDescent="0.3">
      <c r="A414" s="11" t="s">
        <v>3</v>
      </c>
      <c r="B414" s="3" t="s">
        <v>62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527</v>
      </c>
      <c r="D420" s="29"/>
    </row>
    <row r="421" spans="1:4" ht="24" x14ac:dyDescent="0.3">
      <c r="A421" s="26" t="s">
        <v>105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10</v>
      </c>
      <c r="C424" s="28"/>
      <c r="D424" s="29">
        <f>C420*11.45%</f>
        <v>60.341499999999996</v>
      </c>
    </row>
    <row r="425" spans="1:4" x14ac:dyDescent="0.3">
      <c r="A425" s="26"/>
      <c r="B425" s="27" t="s">
        <v>11</v>
      </c>
      <c r="C425" s="28"/>
      <c r="D425" s="29"/>
    </row>
    <row r="426" spans="1:4" x14ac:dyDescent="0.3">
      <c r="A426" s="26"/>
      <c r="B426" s="27" t="s">
        <v>55</v>
      </c>
      <c r="C426" s="28"/>
      <c r="D426" s="29">
        <v>263.5</v>
      </c>
    </row>
    <row r="427" spans="1:4" x14ac:dyDescent="0.3">
      <c r="A427" s="26"/>
      <c r="B427" s="27" t="s">
        <v>102</v>
      </c>
      <c r="C427" s="28"/>
      <c r="D427" s="29"/>
    </row>
    <row r="428" spans="1:4" x14ac:dyDescent="0.3">
      <c r="A428" s="26"/>
      <c r="B428" s="27" t="s">
        <v>18</v>
      </c>
      <c r="C428" s="28"/>
      <c r="D428" s="29"/>
    </row>
    <row r="429" spans="1:4" x14ac:dyDescent="0.3">
      <c r="A429" s="26"/>
      <c r="B429" s="27"/>
      <c r="C429" s="28"/>
      <c r="D429" s="29"/>
    </row>
    <row r="430" spans="1:4" x14ac:dyDescent="0.3">
      <c r="A430" s="21"/>
      <c r="B430" s="8"/>
      <c r="C430" s="1"/>
      <c r="D430" s="20"/>
    </row>
    <row r="431" spans="1:4" x14ac:dyDescent="0.3">
      <c r="A431" s="43"/>
      <c r="B431" s="44" t="s">
        <v>12</v>
      </c>
      <c r="C431" s="46">
        <f>SUM(C420:C430)</f>
        <v>527</v>
      </c>
      <c r="D431" s="50">
        <f>SUM(D420:D430)</f>
        <v>323.8415</v>
      </c>
    </row>
    <row r="432" spans="1:4" x14ac:dyDescent="0.3">
      <c r="A432" s="21"/>
      <c r="B432" s="3"/>
      <c r="C432" s="3"/>
      <c r="D432" s="22"/>
    </row>
    <row r="433" spans="1:4" ht="28.2" x14ac:dyDescent="0.3">
      <c r="A433" s="21"/>
      <c r="B433" s="45"/>
      <c r="C433" s="47" t="s">
        <v>13</v>
      </c>
      <c r="D433" s="51">
        <f>+C431-D431</f>
        <v>203.1585</v>
      </c>
    </row>
    <row r="434" spans="1:4" x14ac:dyDescent="0.3">
      <c r="A434" s="21"/>
      <c r="B434" s="3"/>
      <c r="C434" s="3"/>
      <c r="D434" s="22"/>
    </row>
    <row r="435" spans="1:4" x14ac:dyDescent="0.3">
      <c r="A435" s="23"/>
      <c r="B435" s="4" t="s">
        <v>14</v>
      </c>
      <c r="C435" s="2"/>
      <c r="D435" s="24"/>
    </row>
    <row r="436" spans="1:4" ht="15" thickBot="1" x14ac:dyDescent="0.35">
      <c r="A436" s="23"/>
      <c r="B436" s="9"/>
      <c r="C436" s="9"/>
      <c r="D436" s="24"/>
    </row>
    <row r="437" spans="1:4" x14ac:dyDescent="0.3">
      <c r="A437" s="300" t="s">
        <v>28</v>
      </c>
      <c r="B437" s="300" t="s">
        <v>93</v>
      </c>
      <c r="C437" s="302" t="s">
        <v>30</v>
      </c>
      <c r="D437" s="303"/>
    </row>
    <row r="438" spans="1:4" ht="15" thickBot="1" x14ac:dyDescent="0.35">
      <c r="A438" s="301"/>
      <c r="B438" s="301"/>
      <c r="C438" s="304"/>
      <c r="D438" s="30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8" t="s">
        <v>20</v>
      </c>
      <c r="B449" s="35" t="s">
        <v>21</v>
      </c>
      <c r="C449" s="290" t="s">
        <v>64</v>
      </c>
      <c r="D449" s="291"/>
    </row>
    <row r="450" spans="1:4" ht="15" thickBot="1" x14ac:dyDescent="0.35">
      <c r="A450" s="36" t="s">
        <v>22</v>
      </c>
      <c r="B450" s="33" t="s">
        <v>23</v>
      </c>
      <c r="C450" s="292" t="s">
        <v>63</v>
      </c>
      <c r="D450" s="293"/>
    </row>
  </sheetData>
  <mergeCells count="63">
    <mergeCell ref="C449:D449"/>
    <mergeCell ref="C450:D450"/>
    <mergeCell ref="A405:D405"/>
    <mergeCell ref="A410:D410"/>
    <mergeCell ref="A437:A438"/>
    <mergeCell ref="B437:B438"/>
    <mergeCell ref="C437:D438"/>
    <mergeCell ref="C349:D349"/>
    <mergeCell ref="C350:D350"/>
    <mergeCell ref="A305:D305"/>
    <mergeCell ref="A310:D310"/>
    <mergeCell ref="A337:A338"/>
    <mergeCell ref="B337:B338"/>
    <mergeCell ref="C337:D33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7:D97"/>
    <mergeCell ref="C98:D98"/>
    <mergeCell ref="A53:D53"/>
    <mergeCell ref="A58:D58"/>
    <mergeCell ref="A85:A86"/>
    <mergeCell ref="B85:B86"/>
    <mergeCell ref="C85:D86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99:D399"/>
    <mergeCell ref="C400:D400"/>
    <mergeCell ref="A355:D355"/>
    <mergeCell ref="A360:D360"/>
    <mergeCell ref="A387:A388"/>
    <mergeCell ref="B387:B388"/>
    <mergeCell ref="C387:D388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I450"/>
  <sheetViews>
    <sheetView topLeftCell="A411" zoomScale="90" zoomScaleNormal="90" workbookViewId="0">
      <selection activeCell="A411" sqref="A1:XFD1048576"/>
    </sheetView>
  </sheetViews>
  <sheetFormatPr baseColWidth="10" defaultRowHeight="14.4" x14ac:dyDescent="0.3"/>
  <cols>
    <col min="1" max="1" width="38.109375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65</v>
      </c>
      <c r="C9" s="3"/>
      <c r="D9" s="12"/>
    </row>
    <row r="10" spans="1:4" x14ac:dyDescent="0.3">
      <c r="A10" s="11" t="s">
        <v>2</v>
      </c>
      <c r="B10" s="55">
        <v>1500660749</v>
      </c>
      <c r="C10" s="4"/>
      <c r="D10" s="13"/>
    </row>
    <row r="11" spans="1:4" x14ac:dyDescent="0.3">
      <c r="A11" s="11" t="s">
        <v>3</v>
      </c>
      <c r="B11" s="3" t="s">
        <v>66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9" x14ac:dyDescent="0.3">
      <c r="A17" s="26" t="s">
        <v>16</v>
      </c>
      <c r="B17" s="27"/>
      <c r="C17" s="28">
        <v>566</v>
      </c>
      <c r="D17" s="29"/>
    </row>
    <row r="18" spans="1:9" x14ac:dyDescent="0.3">
      <c r="A18" s="26" t="s">
        <v>104</v>
      </c>
      <c r="B18" s="27"/>
      <c r="C18" s="28"/>
      <c r="D18" s="29"/>
      <c r="E18" s="60">
        <v>0.20599999999999999</v>
      </c>
      <c r="F18" s="60">
        <v>9.4500000000000001E-2</v>
      </c>
      <c r="G18" s="60">
        <f>E18-F18</f>
        <v>0.11149999999999999</v>
      </c>
    </row>
    <row r="19" spans="1:9" x14ac:dyDescent="0.3">
      <c r="A19" s="26" t="s">
        <v>8</v>
      </c>
      <c r="B19" s="27"/>
      <c r="C19" s="28"/>
      <c r="D19" s="29"/>
      <c r="E19" s="61">
        <f>C17</f>
        <v>566</v>
      </c>
      <c r="F19" s="57">
        <f>E19*F18</f>
        <v>53.487000000000002</v>
      </c>
      <c r="G19" s="57">
        <f>E19*G18</f>
        <v>63.108999999999995</v>
      </c>
      <c r="I19">
        <v>68.77</v>
      </c>
    </row>
    <row r="20" spans="1:9" x14ac:dyDescent="0.3">
      <c r="A20" s="26" t="s">
        <v>9</v>
      </c>
      <c r="B20" s="27"/>
      <c r="C20" s="28"/>
      <c r="D20" s="29"/>
    </row>
    <row r="21" spans="1:9" x14ac:dyDescent="0.3">
      <c r="A21" s="26"/>
      <c r="B21" s="27" t="s">
        <v>19</v>
      </c>
      <c r="C21" s="28"/>
      <c r="D21" s="29">
        <f>C17*9.45%</f>
        <v>53.486999999999995</v>
      </c>
    </row>
    <row r="22" spans="1:9" x14ac:dyDescent="0.3">
      <c r="A22" s="26"/>
      <c r="B22" s="27" t="s">
        <v>11</v>
      </c>
      <c r="C22" s="28"/>
      <c r="D22" s="29"/>
    </row>
    <row r="23" spans="1:9" x14ac:dyDescent="0.3">
      <c r="A23" s="26"/>
      <c r="B23" s="27" t="s">
        <v>55</v>
      </c>
      <c r="C23" s="28"/>
      <c r="D23" s="29"/>
      <c r="F23">
        <v>68.77</v>
      </c>
    </row>
    <row r="24" spans="1:9" x14ac:dyDescent="0.3">
      <c r="A24" s="26"/>
      <c r="B24" s="27" t="s">
        <v>56</v>
      </c>
      <c r="C24" s="28"/>
      <c r="D24" s="29"/>
    </row>
    <row r="25" spans="1:9" x14ac:dyDescent="0.3">
      <c r="A25" s="26"/>
      <c r="B25" s="27" t="s">
        <v>18</v>
      </c>
      <c r="C25" s="28"/>
      <c r="D25" s="29"/>
    </row>
    <row r="26" spans="1:9" x14ac:dyDescent="0.3">
      <c r="A26" s="26"/>
      <c r="B26" s="27"/>
      <c r="C26" s="28"/>
      <c r="D26" s="29"/>
    </row>
    <row r="27" spans="1:9" x14ac:dyDescent="0.3">
      <c r="A27" s="21"/>
      <c r="B27" s="8"/>
      <c r="C27" s="1"/>
      <c r="D27" s="20"/>
    </row>
    <row r="28" spans="1:9" x14ac:dyDescent="0.3">
      <c r="A28" s="43"/>
      <c r="B28" s="44" t="s">
        <v>12</v>
      </c>
      <c r="C28" s="46">
        <f>SUM(C17:C27)</f>
        <v>566</v>
      </c>
      <c r="D28" s="50">
        <f>SUM(D17:D27)</f>
        <v>53.486999999999995</v>
      </c>
    </row>
    <row r="29" spans="1:9" x14ac:dyDescent="0.3">
      <c r="A29" s="21"/>
      <c r="B29" s="3"/>
      <c r="C29" s="3"/>
      <c r="D29" s="22"/>
    </row>
    <row r="30" spans="1:9" ht="28.2" x14ac:dyDescent="0.3">
      <c r="A30" s="21"/>
      <c r="B30" s="45"/>
      <c r="C30" s="47" t="s">
        <v>13</v>
      </c>
      <c r="D30" s="51">
        <f>+C28-D28</f>
        <v>512.51300000000003</v>
      </c>
    </row>
    <row r="31" spans="1:9" x14ac:dyDescent="0.3">
      <c r="A31" s="21"/>
      <c r="B31" s="3"/>
      <c r="C31" s="3"/>
      <c r="D31" s="22"/>
    </row>
    <row r="32" spans="1:9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67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68</v>
      </c>
      <c r="D47" s="293"/>
    </row>
    <row r="52" spans="1:4" ht="15" thickBot="1" x14ac:dyDescent="0.35"/>
    <row r="53" spans="1:4" ht="25.2" x14ac:dyDescent="0.3">
      <c r="A53" s="294"/>
      <c r="B53" s="295"/>
      <c r="C53" s="295"/>
      <c r="D53" s="296"/>
    </row>
    <row r="54" spans="1:4" x14ac:dyDescent="0.3">
      <c r="A54" s="31"/>
      <c r="B54" s="48"/>
      <c r="C54" s="2"/>
      <c r="D54" s="30"/>
    </row>
    <row r="55" spans="1:4" x14ac:dyDescent="0.3">
      <c r="A55" s="31"/>
      <c r="B55" s="49"/>
      <c r="C55" s="2"/>
      <c r="D55" s="30"/>
    </row>
    <row r="56" spans="1:4" x14ac:dyDescent="0.3">
      <c r="A56" s="31"/>
      <c r="B56" s="49"/>
      <c r="C56" s="2"/>
      <c r="D56" s="30"/>
    </row>
    <row r="57" spans="1:4" ht="15" thickBot="1" x14ac:dyDescent="0.35">
      <c r="A57" s="31"/>
      <c r="B57" s="2"/>
      <c r="C57" s="2"/>
      <c r="D57" s="30"/>
    </row>
    <row r="58" spans="1:4" ht="25.8" thickBot="1" x14ac:dyDescent="0.35">
      <c r="A58" s="297" t="s">
        <v>0</v>
      </c>
      <c r="B58" s="298"/>
      <c r="C58" s="298"/>
      <c r="D58" s="299"/>
    </row>
    <row r="59" spans="1:4" ht="25.2" x14ac:dyDescent="0.3">
      <c r="A59" s="52"/>
      <c r="B59" s="53"/>
      <c r="C59" s="53"/>
      <c r="D59" s="54"/>
    </row>
    <row r="60" spans="1:4" x14ac:dyDescent="0.3">
      <c r="A60" s="11" t="s">
        <v>1</v>
      </c>
      <c r="B60" s="3" t="s">
        <v>65</v>
      </c>
      <c r="C60" s="3"/>
      <c r="D60" s="12"/>
    </row>
    <row r="61" spans="1:4" x14ac:dyDescent="0.3">
      <c r="A61" s="11" t="s">
        <v>2</v>
      </c>
      <c r="B61" s="55">
        <v>1500660749</v>
      </c>
      <c r="C61" s="4"/>
      <c r="D61" s="13"/>
    </row>
    <row r="62" spans="1:4" x14ac:dyDescent="0.3">
      <c r="A62" s="11" t="s">
        <v>3</v>
      </c>
      <c r="B62" s="3" t="s">
        <v>66</v>
      </c>
      <c r="C62" s="4"/>
      <c r="D62" s="14"/>
    </row>
    <row r="63" spans="1:4" x14ac:dyDescent="0.3">
      <c r="A63" s="11" t="s">
        <v>26</v>
      </c>
      <c r="B63" s="3" t="s">
        <v>112</v>
      </c>
      <c r="C63" s="4"/>
      <c r="D63" s="15"/>
    </row>
    <row r="64" spans="1:4" x14ac:dyDescent="0.3">
      <c r="A64" s="11" t="s">
        <v>99</v>
      </c>
      <c r="B64" s="55">
        <v>2022</v>
      </c>
      <c r="C64" s="4"/>
      <c r="D64" s="15"/>
    </row>
    <row r="65" spans="1:4" x14ac:dyDescent="0.3">
      <c r="A65" s="16"/>
      <c r="B65" s="5"/>
      <c r="C65" s="5"/>
      <c r="D65" s="17"/>
    </row>
    <row r="66" spans="1:4" x14ac:dyDescent="0.3">
      <c r="A66" s="39" t="s">
        <v>94</v>
      </c>
      <c r="B66" s="40"/>
      <c r="C66" s="41" t="s">
        <v>5</v>
      </c>
      <c r="D66" s="42" t="s">
        <v>6</v>
      </c>
    </row>
    <row r="67" spans="1:4" x14ac:dyDescent="0.3">
      <c r="A67" s="18"/>
      <c r="B67" s="6"/>
      <c r="C67" s="7"/>
      <c r="D67" s="19"/>
    </row>
    <row r="68" spans="1:4" x14ac:dyDescent="0.3">
      <c r="A68" s="26" t="s">
        <v>16</v>
      </c>
      <c r="B68" s="27"/>
      <c r="C68" s="28">
        <v>566</v>
      </c>
      <c r="D68" s="29"/>
    </row>
    <row r="69" spans="1:4" x14ac:dyDescent="0.3">
      <c r="A69" s="26" t="s">
        <v>104</v>
      </c>
      <c r="B69" s="27"/>
      <c r="C69" s="28"/>
      <c r="D69" s="29"/>
    </row>
    <row r="70" spans="1:4" x14ac:dyDescent="0.3">
      <c r="A70" s="26" t="s">
        <v>8</v>
      </c>
      <c r="B70" s="27"/>
      <c r="C70" s="28"/>
      <c r="D70" s="29"/>
    </row>
    <row r="71" spans="1:4" x14ac:dyDescent="0.3">
      <c r="A71" s="26" t="s">
        <v>9</v>
      </c>
      <c r="B71" s="27"/>
      <c r="C71" s="28"/>
      <c r="D71" s="29"/>
    </row>
    <row r="72" spans="1:4" x14ac:dyDescent="0.3">
      <c r="A72" s="26"/>
      <c r="B72" s="27" t="s">
        <v>10</v>
      </c>
      <c r="C72" s="28"/>
      <c r="D72" s="29">
        <f>C68*9.45%</f>
        <v>53.486999999999995</v>
      </c>
    </row>
    <row r="73" spans="1:4" x14ac:dyDescent="0.3">
      <c r="A73" s="26"/>
      <c r="B73" s="27" t="s">
        <v>11</v>
      </c>
      <c r="C73" s="28"/>
      <c r="D73" s="29"/>
    </row>
    <row r="74" spans="1:4" x14ac:dyDescent="0.3">
      <c r="A74" s="26"/>
      <c r="B74" s="27" t="s">
        <v>55</v>
      </c>
      <c r="C74" s="28"/>
      <c r="D74" s="29"/>
    </row>
    <row r="75" spans="1:4" x14ac:dyDescent="0.3">
      <c r="A75" s="26"/>
      <c r="B75" s="27" t="s">
        <v>56</v>
      </c>
      <c r="C75" s="28"/>
      <c r="D75" s="29"/>
    </row>
    <row r="76" spans="1:4" x14ac:dyDescent="0.3">
      <c r="A76" s="26"/>
      <c r="B76" s="27" t="s">
        <v>18</v>
      </c>
      <c r="C76" s="28"/>
      <c r="D76" s="29"/>
    </row>
    <row r="77" spans="1:4" x14ac:dyDescent="0.3">
      <c r="A77" s="26"/>
      <c r="B77" s="27"/>
      <c r="C77" s="28"/>
      <c r="D77" s="29"/>
    </row>
    <row r="78" spans="1:4" x14ac:dyDescent="0.3">
      <c r="A78" s="21"/>
      <c r="B78" s="8"/>
      <c r="C78" s="1"/>
      <c r="D78" s="20"/>
    </row>
    <row r="79" spans="1:4" x14ac:dyDescent="0.3">
      <c r="A79" s="43"/>
      <c r="B79" s="44" t="s">
        <v>12</v>
      </c>
      <c r="C79" s="46">
        <f>SUM(C68:C78)</f>
        <v>566</v>
      </c>
      <c r="D79" s="50">
        <f>SUM(D68:D78)</f>
        <v>53.486999999999995</v>
      </c>
    </row>
    <row r="80" spans="1:4" x14ac:dyDescent="0.3">
      <c r="A80" s="21"/>
      <c r="B80" s="3"/>
      <c r="C80" s="3"/>
      <c r="D80" s="22"/>
    </row>
    <row r="81" spans="1:4" ht="28.2" x14ac:dyDescent="0.3">
      <c r="A81" s="21"/>
      <c r="B81" s="45"/>
      <c r="C81" s="47" t="s">
        <v>13</v>
      </c>
      <c r="D81" s="51">
        <f>+C79-D79</f>
        <v>512.51300000000003</v>
      </c>
    </row>
    <row r="82" spans="1:4" x14ac:dyDescent="0.3">
      <c r="A82" s="21"/>
      <c r="B82" s="3"/>
      <c r="C82" s="3"/>
      <c r="D82" s="22"/>
    </row>
    <row r="83" spans="1:4" x14ac:dyDescent="0.3">
      <c r="A83" s="23"/>
      <c r="B83" s="4" t="s">
        <v>14</v>
      </c>
      <c r="C83" s="2"/>
      <c r="D83" s="24"/>
    </row>
    <row r="84" spans="1:4" ht="15" thickBot="1" x14ac:dyDescent="0.35">
      <c r="A84" s="23"/>
      <c r="B84" s="9"/>
      <c r="C84" s="9"/>
      <c r="D84" s="24"/>
    </row>
    <row r="85" spans="1:4" x14ac:dyDescent="0.3">
      <c r="A85" s="300" t="s">
        <v>28</v>
      </c>
      <c r="B85" s="300" t="s">
        <v>93</v>
      </c>
      <c r="C85" s="302" t="s">
        <v>30</v>
      </c>
      <c r="D85" s="303"/>
    </row>
    <row r="86" spans="1:4" ht="15" thickBot="1" x14ac:dyDescent="0.35">
      <c r="A86" s="301"/>
      <c r="B86" s="301"/>
      <c r="C86" s="304"/>
      <c r="D86" s="305"/>
    </row>
    <row r="87" spans="1:4" x14ac:dyDescent="0.3">
      <c r="A87" s="37"/>
      <c r="B87" s="34"/>
      <c r="C87" s="32"/>
      <c r="D87" s="2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8" t="s">
        <v>20</v>
      </c>
      <c r="B97" s="35" t="s">
        <v>21</v>
      </c>
      <c r="C97" s="290" t="s">
        <v>67</v>
      </c>
      <c r="D97" s="291"/>
    </row>
    <row r="98" spans="1:4" ht="15" thickBot="1" x14ac:dyDescent="0.35">
      <c r="A98" s="36" t="s">
        <v>22</v>
      </c>
      <c r="B98" s="33" t="s">
        <v>23</v>
      </c>
      <c r="C98" s="292" t="s">
        <v>68</v>
      </c>
      <c r="D98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65</v>
      </c>
      <c r="C112" s="3"/>
      <c r="D112" s="12"/>
    </row>
    <row r="113" spans="1:4" x14ac:dyDescent="0.3">
      <c r="A113" s="11" t="s">
        <v>2</v>
      </c>
      <c r="B113" s="55">
        <v>1500660749</v>
      </c>
      <c r="C113" s="4"/>
      <c r="D113" s="13"/>
    </row>
    <row r="114" spans="1:4" x14ac:dyDescent="0.3">
      <c r="A114" s="11" t="s">
        <v>3</v>
      </c>
      <c r="B114" s="3" t="s">
        <v>66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566</v>
      </c>
      <c r="D120" s="29"/>
    </row>
    <row r="121" spans="1:4" x14ac:dyDescent="0.3">
      <c r="A121" s="26" t="s">
        <v>104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19</v>
      </c>
      <c r="C124" s="28"/>
      <c r="D124" s="29">
        <f>C120*9.45%</f>
        <v>53.486999999999995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>
        <v>0.01</v>
      </c>
    </row>
    <row r="127" spans="1:4" x14ac:dyDescent="0.3">
      <c r="A127" s="26"/>
      <c r="B127" s="27" t="s">
        <v>101</v>
      </c>
      <c r="C127" s="28"/>
      <c r="D127" s="29"/>
    </row>
    <row r="128" spans="1:4" x14ac:dyDescent="0.3">
      <c r="A128" s="26"/>
      <c r="B128" s="27" t="s">
        <v>18</v>
      </c>
      <c r="C128" s="28"/>
      <c r="D128" s="29"/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566</v>
      </c>
      <c r="D131" s="50">
        <f>SUM(D120:D130)</f>
        <v>53.496999999999993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512.50300000000004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93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8" t="s">
        <v>20</v>
      </c>
      <c r="B149" s="35" t="s">
        <v>21</v>
      </c>
      <c r="C149" s="290" t="s">
        <v>67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68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65</v>
      </c>
      <c r="C162" s="3"/>
      <c r="D162" s="12"/>
    </row>
    <row r="163" spans="1:4" x14ac:dyDescent="0.3">
      <c r="A163" s="11" t="s">
        <v>2</v>
      </c>
      <c r="B163" s="55">
        <v>1500660749</v>
      </c>
      <c r="C163" s="4"/>
      <c r="D163" s="13"/>
    </row>
    <row r="164" spans="1:4" x14ac:dyDescent="0.3">
      <c r="A164" s="11" t="s">
        <v>3</v>
      </c>
      <c r="B164" s="3" t="s">
        <v>66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566</v>
      </c>
      <c r="D170" s="29"/>
    </row>
    <row r="171" spans="1:4" x14ac:dyDescent="0.3">
      <c r="A171" s="26" t="s">
        <v>104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19</v>
      </c>
      <c r="C174" s="28"/>
      <c r="D174" s="29">
        <f>C170*9.45%</f>
        <v>53.486999999999995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55</v>
      </c>
      <c r="C176" s="28"/>
      <c r="D176" s="29"/>
    </row>
    <row r="177" spans="1:4" x14ac:dyDescent="0.3">
      <c r="A177" s="26"/>
      <c r="B177" s="27" t="s">
        <v>101</v>
      </c>
      <c r="C177" s="28"/>
      <c r="D177" s="29"/>
    </row>
    <row r="178" spans="1:4" x14ac:dyDescent="0.3">
      <c r="A178" s="26"/>
      <c r="B178" s="27" t="s">
        <v>18</v>
      </c>
      <c r="C178" s="28"/>
      <c r="D178" s="29"/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566</v>
      </c>
      <c r="D181" s="50">
        <f>SUM(D170:D180)</f>
        <v>53.486999999999995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512.51300000000003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93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67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68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65</v>
      </c>
      <c r="C212" s="3"/>
      <c r="D212" s="12"/>
    </row>
    <row r="213" spans="1:4" x14ac:dyDescent="0.3">
      <c r="A213" s="11" t="s">
        <v>2</v>
      </c>
      <c r="B213" s="55">
        <v>1500660749</v>
      </c>
      <c r="C213" s="4"/>
      <c r="D213" s="13"/>
    </row>
    <row r="214" spans="1:4" x14ac:dyDescent="0.3">
      <c r="A214" s="11" t="s">
        <v>3</v>
      </c>
      <c r="B214" s="3" t="s">
        <v>66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566</v>
      </c>
      <c r="D220" s="29"/>
    </row>
    <row r="221" spans="1:4" x14ac:dyDescent="0.3">
      <c r="A221" s="26" t="s">
        <v>104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19</v>
      </c>
      <c r="C224" s="28"/>
      <c r="D224" s="29">
        <f>C220*9.45%</f>
        <v>53.486999999999995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55</v>
      </c>
      <c r="C226" s="28"/>
      <c r="D226" s="29"/>
    </row>
    <row r="227" spans="1:4" x14ac:dyDescent="0.3">
      <c r="A227" s="26"/>
      <c r="B227" s="27" t="s">
        <v>101</v>
      </c>
      <c r="C227" s="28"/>
      <c r="D227" s="29"/>
    </row>
    <row r="228" spans="1:4" x14ac:dyDescent="0.3">
      <c r="A228" s="26"/>
      <c r="B228" s="27" t="s">
        <v>18</v>
      </c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566</v>
      </c>
      <c r="D231" s="50">
        <f>SUM(D220:D230)</f>
        <v>53.486999999999995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512.51300000000003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93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67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68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65</v>
      </c>
      <c r="C262" s="3"/>
      <c r="D262" s="12"/>
    </row>
    <row r="263" spans="1:4" x14ac:dyDescent="0.3">
      <c r="A263" s="11" t="s">
        <v>2</v>
      </c>
      <c r="B263" s="55">
        <v>1500660749</v>
      </c>
      <c r="C263" s="4"/>
      <c r="D263" s="13"/>
    </row>
    <row r="264" spans="1:4" x14ac:dyDescent="0.3">
      <c r="A264" s="11" t="s">
        <v>3</v>
      </c>
      <c r="B264" s="3" t="s">
        <v>66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566</v>
      </c>
      <c r="D270" s="29"/>
    </row>
    <row r="271" spans="1:4" x14ac:dyDescent="0.3">
      <c r="A271" s="26" t="s">
        <v>104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19</v>
      </c>
      <c r="C274" s="28"/>
      <c r="D274" s="29">
        <f>C270*9.45%</f>
        <v>53.486999999999995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55</v>
      </c>
      <c r="C276" s="28"/>
      <c r="D276" s="29"/>
    </row>
    <row r="277" spans="1:4" x14ac:dyDescent="0.3">
      <c r="A277" s="26"/>
      <c r="B277" s="27" t="s">
        <v>101</v>
      </c>
      <c r="C277" s="28"/>
      <c r="D277" s="29"/>
    </row>
    <row r="278" spans="1:4" x14ac:dyDescent="0.3">
      <c r="A278" s="26"/>
      <c r="B278" s="27" t="s">
        <v>18</v>
      </c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566</v>
      </c>
      <c r="D281" s="50">
        <f>SUM(D270:D280)</f>
        <v>53.486999999999995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512.51300000000003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93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67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68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65</v>
      </c>
      <c r="C312" s="3"/>
      <c r="D312" s="12"/>
    </row>
    <row r="313" spans="1:4" x14ac:dyDescent="0.3">
      <c r="A313" s="11" t="s">
        <v>2</v>
      </c>
      <c r="B313" s="55">
        <v>1500660749</v>
      </c>
      <c r="C313" s="4"/>
      <c r="D313" s="13"/>
    </row>
    <row r="314" spans="1:4" x14ac:dyDescent="0.3">
      <c r="A314" s="11" t="s">
        <v>3</v>
      </c>
      <c r="B314" s="3" t="s">
        <v>66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566</v>
      </c>
      <c r="D320" s="29"/>
    </row>
    <row r="321" spans="1:4" x14ac:dyDescent="0.3">
      <c r="A321" s="26" t="s">
        <v>104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19</v>
      </c>
      <c r="C324" s="28"/>
      <c r="D324" s="29">
        <f>C320*9.45%</f>
        <v>53.486999999999995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55</v>
      </c>
      <c r="C326" s="28"/>
      <c r="D326" s="29">
        <v>283</v>
      </c>
    </row>
    <row r="327" spans="1:4" x14ac:dyDescent="0.3">
      <c r="A327" s="26"/>
      <c r="B327" s="27" t="s">
        <v>101</v>
      </c>
      <c r="C327" s="28"/>
      <c r="D327" s="29"/>
    </row>
    <row r="328" spans="1:4" x14ac:dyDescent="0.3">
      <c r="A328" s="26"/>
      <c r="B328" s="27" t="s">
        <v>18</v>
      </c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566</v>
      </c>
      <c r="D331" s="50">
        <f>SUM(D320:D330)</f>
        <v>336.48699999999997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229.51300000000003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93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67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68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65</v>
      </c>
      <c r="C362" s="3"/>
      <c r="D362" s="12"/>
    </row>
    <row r="363" spans="1:4" x14ac:dyDescent="0.3">
      <c r="A363" s="11" t="s">
        <v>2</v>
      </c>
      <c r="B363" s="55">
        <v>1500660749</v>
      </c>
      <c r="C363" s="4"/>
      <c r="D363" s="13"/>
    </row>
    <row r="364" spans="1:4" x14ac:dyDescent="0.3">
      <c r="A364" s="11" t="s">
        <v>3</v>
      </c>
      <c r="B364" s="3" t="s">
        <v>66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x14ac:dyDescent="0.3">
      <c r="A371" s="26" t="s">
        <v>104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19</v>
      </c>
      <c r="C374" s="28"/>
      <c r="D374" s="29">
        <f>C370*9.45%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101</v>
      </c>
      <c r="C377" s="28"/>
      <c r="D377" s="29"/>
    </row>
    <row r="378" spans="1:4" x14ac:dyDescent="0.3">
      <c r="A378" s="26"/>
      <c r="B378" s="27" t="s">
        <v>18</v>
      </c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425</v>
      </c>
      <c r="D381" s="50">
        <f>SUM(D370:D380)</f>
        <v>0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425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93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67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68</v>
      </c>
      <c r="D400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65</v>
      </c>
      <c r="C412" s="3"/>
      <c r="D412" s="12"/>
    </row>
    <row r="413" spans="1:4" x14ac:dyDescent="0.3">
      <c r="A413" s="11" t="s">
        <v>2</v>
      </c>
      <c r="B413" s="55">
        <v>1500660749</v>
      </c>
      <c r="C413" s="4"/>
      <c r="D413" s="13"/>
    </row>
    <row r="414" spans="1:4" x14ac:dyDescent="0.3">
      <c r="A414" s="11" t="s">
        <v>3</v>
      </c>
      <c r="B414" s="3" t="s">
        <v>66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566</v>
      </c>
      <c r="D420" s="29"/>
    </row>
    <row r="421" spans="1:4" x14ac:dyDescent="0.3">
      <c r="A421" s="26" t="s">
        <v>104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19</v>
      </c>
      <c r="C424" s="28"/>
      <c r="D424" s="29">
        <f>C420*9.45%</f>
        <v>53.486999999999995</v>
      </c>
    </row>
    <row r="425" spans="1:4" x14ac:dyDescent="0.3">
      <c r="A425" s="26"/>
      <c r="B425" s="27" t="s">
        <v>11</v>
      </c>
      <c r="C425" s="28"/>
      <c r="D425" s="29"/>
    </row>
    <row r="426" spans="1:4" x14ac:dyDescent="0.3">
      <c r="A426" s="26"/>
      <c r="B426" s="27" t="s">
        <v>55</v>
      </c>
      <c r="C426" s="28"/>
      <c r="D426" s="29">
        <v>283</v>
      </c>
    </row>
    <row r="427" spans="1:4" x14ac:dyDescent="0.3">
      <c r="A427" s="26"/>
      <c r="B427" s="27" t="s">
        <v>101</v>
      </c>
      <c r="C427" s="28"/>
      <c r="D427" s="29"/>
    </row>
    <row r="428" spans="1:4" x14ac:dyDescent="0.3">
      <c r="A428" s="26"/>
      <c r="B428" s="27" t="s">
        <v>18</v>
      </c>
      <c r="C428" s="28"/>
      <c r="D428" s="29"/>
    </row>
    <row r="429" spans="1:4" x14ac:dyDescent="0.3">
      <c r="A429" s="26"/>
      <c r="B429" s="27"/>
      <c r="C429" s="28"/>
      <c r="D429" s="29"/>
    </row>
    <row r="430" spans="1:4" x14ac:dyDescent="0.3">
      <c r="A430" s="21"/>
      <c r="B430" s="8"/>
      <c r="C430" s="1"/>
      <c r="D430" s="20"/>
    </row>
    <row r="431" spans="1:4" x14ac:dyDescent="0.3">
      <c r="A431" s="43"/>
      <c r="B431" s="44" t="s">
        <v>12</v>
      </c>
      <c r="C431" s="46">
        <f>SUM(C420:C430)</f>
        <v>566</v>
      </c>
      <c r="D431" s="50">
        <f>SUM(D420:D430)</f>
        <v>336.48699999999997</v>
      </c>
    </row>
    <row r="432" spans="1:4" x14ac:dyDescent="0.3">
      <c r="A432" s="21"/>
      <c r="B432" s="3"/>
      <c r="C432" s="3"/>
      <c r="D432" s="22"/>
    </row>
    <row r="433" spans="1:4" ht="28.2" x14ac:dyDescent="0.3">
      <c r="A433" s="21"/>
      <c r="B433" s="45"/>
      <c r="C433" s="47" t="s">
        <v>13</v>
      </c>
      <c r="D433" s="51">
        <f>+C431-D431</f>
        <v>229.51300000000003</v>
      </c>
    </row>
    <row r="434" spans="1:4" x14ac:dyDescent="0.3">
      <c r="A434" s="21"/>
      <c r="B434" s="3"/>
      <c r="C434" s="3"/>
      <c r="D434" s="22"/>
    </row>
    <row r="435" spans="1:4" x14ac:dyDescent="0.3">
      <c r="A435" s="23"/>
      <c r="B435" s="4" t="s">
        <v>14</v>
      </c>
      <c r="C435" s="2"/>
      <c r="D435" s="24"/>
    </row>
    <row r="436" spans="1:4" ht="15" thickBot="1" x14ac:dyDescent="0.35">
      <c r="A436" s="23"/>
      <c r="B436" s="9"/>
      <c r="C436" s="9"/>
      <c r="D436" s="24"/>
    </row>
    <row r="437" spans="1:4" x14ac:dyDescent="0.3">
      <c r="A437" s="300" t="s">
        <v>28</v>
      </c>
      <c r="B437" s="300" t="s">
        <v>93</v>
      </c>
      <c r="C437" s="302" t="s">
        <v>30</v>
      </c>
      <c r="D437" s="303"/>
    </row>
    <row r="438" spans="1:4" ht="15" thickBot="1" x14ac:dyDescent="0.35">
      <c r="A438" s="301"/>
      <c r="B438" s="301"/>
      <c r="C438" s="304"/>
      <c r="D438" s="30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8" t="s">
        <v>20</v>
      </c>
      <c r="B449" s="35" t="s">
        <v>21</v>
      </c>
      <c r="C449" s="290" t="s">
        <v>67</v>
      </c>
      <c r="D449" s="291"/>
    </row>
    <row r="450" spans="1:4" ht="15" thickBot="1" x14ac:dyDescent="0.35">
      <c r="A450" s="36" t="s">
        <v>22</v>
      </c>
      <c r="B450" s="33" t="s">
        <v>23</v>
      </c>
      <c r="C450" s="292" t="s">
        <v>68</v>
      </c>
      <c r="D450" s="293"/>
    </row>
  </sheetData>
  <mergeCells count="63">
    <mergeCell ref="C449:D449"/>
    <mergeCell ref="C450:D450"/>
    <mergeCell ref="A405:D405"/>
    <mergeCell ref="A410:D410"/>
    <mergeCell ref="A437:A438"/>
    <mergeCell ref="B437:B438"/>
    <mergeCell ref="C437:D438"/>
    <mergeCell ref="C349:D349"/>
    <mergeCell ref="C350:D350"/>
    <mergeCell ref="A305:D305"/>
    <mergeCell ref="A310:D310"/>
    <mergeCell ref="A337:A338"/>
    <mergeCell ref="B337:B338"/>
    <mergeCell ref="C337:D33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7:D97"/>
    <mergeCell ref="C98:D98"/>
    <mergeCell ref="A53:D53"/>
    <mergeCell ref="A58:D58"/>
    <mergeCell ref="A85:A86"/>
    <mergeCell ref="B85:B86"/>
    <mergeCell ref="C85:D86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99:D399"/>
    <mergeCell ref="C400:D400"/>
    <mergeCell ref="A355:D355"/>
    <mergeCell ref="A360:D360"/>
    <mergeCell ref="A387:A388"/>
    <mergeCell ref="B387:B388"/>
    <mergeCell ref="C387:D388"/>
  </mergeCells>
  <pageMargins left="0.70866141732283472" right="0.70866141732283472" top="0.74803149606299213" bottom="0.74803149606299213" header="0.31496062992125984" footer="0.31496062992125984"/>
  <pageSetup scale="80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G450"/>
  <sheetViews>
    <sheetView topLeftCell="A411" zoomScale="90" zoomScaleNormal="90" workbookViewId="0">
      <selection activeCell="F431" sqref="F431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69</v>
      </c>
      <c r="C9" s="3"/>
      <c r="D9" s="12"/>
    </row>
    <row r="10" spans="1:4" x14ac:dyDescent="0.3">
      <c r="A10" s="11" t="s">
        <v>2</v>
      </c>
      <c r="B10" s="55">
        <v>1712044146</v>
      </c>
      <c r="C10" s="4"/>
      <c r="D10" s="13"/>
    </row>
    <row r="11" spans="1:4" x14ac:dyDescent="0.3">
      <c r="A11" s="11" t="s">
        <v>3</v>
      </c>
      <c r="B11" s="3" t="s">
        <v>66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5" x14ac:dyDescent="0.3">
      <c r="A17" s="26" t="s">
        <v>16</v>
      </c>
      <c r="B17" s="27"/>
      <c r="C17" s="28">
        <v>584</v>
      </c>
      <c r="D17" s="29"/>
    </row>
    <row r="18" spans="1:5" x14ac:dyDescent="0.3">
      <c r="A18" s="26" t="s">
        <v>109</v>
      </c>
      <c r="B18" s="27"/>
      <c r="C18" s="28"/>
      <c r="D18" s="29"/>
    </row>
    <row r="19" spans="1:5" x14ac:dyDescent="0.3">
      <c r="A19" s="26" t="s">
        <v>8</v>
      </c>
      <c r="B19" s="27"/>
      <c r="C19" s="28"/>
      <c r="D19" s="29"/>
    </row>
    <row r="20" spans="1:5" x14ac:dyDescent="0.3">
      <c r="A20" s="26" t="s">
        <v>9</v>
      </c>
      <c r="B20" s="27"/>
      <c r="C20" s="28"/>
      <c r="D20" s="29"/>
    </row>
    <row r="21" spans="1:5" x14ac:dyDescent="0.3">
      <c r="A21" s="26"/>
      <c r="B21" s="27" t="s">
        <v>10</v>
      </c>
      <c r="C21" s="28"/>
      <c r="D21" s="29">
        <f>C17*9.45%</f>
        <v>55.187999999999995</v>
      </c>
    </row>
    <row r="22" spans="1:5" x14ac:dyDescent="0.3">
      <c r="A22" s="26"/>
      <c r="B22" s="27" t="s">
        <v>11</v>
      </c>
      <c r="C22" s="28"/>
      <c r="D22" s="29">
        <v>37.42</v>
      </c>
    </row>
    <row r="23" spans="1:5" x14ac:dyDescent="0.3">
      <c r="A23" s="26"/>
      <c r="B23" s="27" t="s">
        <v>55</v>
      </c>
      <c r="C23" s="28"/>
      <c r="D23" s="29">
        <v>292</v>
      </c>
    </row>
    <row r="24" spans="1:5" x14ac:dyDescent="0.3">
      <c r="A24" s="26"/>
      <c r="B24" s="27" t="s">
        <v>72</v>
      </c>
      <c r="C24" s="28"/>
      <c r="D24" s="29">
        <v>140.28</v>
      </c>
    </row>
    <row r="25" spans="1:5" x14ac:dyDescent="0.3">
      <c r="A25" s="26"/>
      <c r="B25" s="27" t="s">
        <v>18</v>
      </c>
      <c r="C25" s="28"/>
      <c r="D25" s="29"/>
    </row>
    <row r="26" spans="1:5" x14ac:dyDescent="0.3">
      <c r="A26" s="26"/>
      <c r="B26" s="27"/>
      <c r="C26" s="28"/>
      <c r="D26" s="29"/>
    </row>
    <row r="27" spans="1:5" x14ac:dyDescent="0.3">
      <c r="A27" s="21"/>
      <c r="B27" s="8"/>
      <c r="C27" s="1"/>
      <c r="D27" s="20"/>
      <c r="E27" s="57"/>
    </row>
    <row r="28" spans="1:5" x14ac:dyDescent="0.3">
      <c r="A28" s="43"/>
      <c r="B28" s="44" t="s">
        <v>12</v>
      </c>
      <c r="C28" s="46">
        <f>SUM(C17:C27)</f>
        <v>584</v>
      </c>
      <c r="D28" s="50">
        <f>SUM(D17:D27)</f>
        <v>524.88800000000003</v>
      </c>
    </row>
    <row r="29" spans="1:5" x14ac:dyDescent="0.3">
      <c r="A29" s="21"/>
      <c r="B29" s="3"/>
      <c r="C29" s="3"/>
      <c r="D29" s="22"/>
    </row>
    <row r="30" spans="1:5" ht="28.2" x14ac:dyDescent="0.3">
      <c r="A30" s="21"/>
      <c r="B30" s="45"/>
      <c r="C30" s="47" t="s">
        <v>13</v>
      </c>
      <c r="D30" s="51">
        <f>+C28-D28</f>
        <v>59.111999999999966</v>
      </c>
    </row>
    <row r="31" spans="1:5" x14ac:dyDescent="0.3">
      <c r="A31" s="21"/>
      <c r="B31" s="3"/>
      <c r="C31" s="3"/>
      <c r="D31" s="22"/>
    </row>
    <row r="32" spans="1:5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29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70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71</v>
      </c>
      <c r="D47" s="293"/>
    </row>
    <row r="54" spans="1:4" ht="15" thickBot="1" x14ac:dyDescent="0.35"/>
    <row r="55" spans="1:4" ht="25.2" x14ac:dyDescent="0.3">
      <c r="A55" s="294"/>
      <c r="B55" s="295"/>
      <c r="C55" s="295"/>
      <c r="D55" s="296"/>
    </row>
    <row r="56" spans="1:4" x14ac:dyDescent="0.3">
      <c r="A56" s="31"/>
      <c r="B56" s="48"/>
      <c r="C56" s="2"/>
      <c r="D56" s="30"/>
    </row>
    <row r="57" spans="1:4" x14ac:dyDescent="0.3">
      <c r="A57" s="31"/>
      <c r="B57" s="49"/>
      <c r="C57" s="2"/>
      <c r="D57" s="30"/>
    </row>
    <row r="58" spans="1:4" x14ac:dyDescent="0.3">
      <c r="A58" s="31"/>
      <c r="B58" s="49"/>
      <c r="C58" s="2"/>
      <c r="D58" s="30"/>
    </row>
    <row r="59" spans="1:4" ht="15" thickBot="1" x14ac:dyDescent="0.35">
      <c r="A59" s="31"/>
      <c r="B59" s="2"/>
      <c r="C59" s="2"/>
      <c r="D59" s="30"/>
    </row>
    <row r="60" spans="1:4" ht="25.8" thickBot="1" x14ac:dyDescent="0.35">
      <c r="A60" s="297" t="s">
        <v>0</v>
      </c>
      <c r="B60" s="298"/>
      <c r="C60" s="298"/>
      <c r="D60" s="299"/>
    </row>
    <row r="61" spans="1:4" ht="25.2" x14ac:dyDescent="0.3">
      <c r="A61" s="52"/>
      <c r="B61" s="53"/>
      <c r="C61" s="53"/>
      <c r="D61" s="54"/>
    </row>
    <row r="62" spans="1:4" x14ac:dyDescent="0.3">
      <c r="A62" s="11" t="s">
        <v>1</v>
      </c>
      <c r="B62" s="3" t="s">
        <v>69</v>
      </c>
      <c r="C62" s="3"/>
      <c r="D62" s="12"/>
    </row>
    <row r="63" spans="1:4" x14ac:dyDescent="0.3">
      <c r="A63" s="11" t="s">
        <v>2</v>
      </c>
      <c r="B63" s="55">
        <v>1712044146</v>
      </c>
      <c r="C63" s="4"/>
      <c r="D63" s="13"/>
    </row>
    <row r="64" spans="1:4" x14ac:dyDescent="0.3">
      <c r="A64" s="11" t="s">
        <v>3</v>
      </c>
      <c r="B64" s="3" t="s">
        <v>66</v>
      </c>
      <c r="C64" s="4"/>
      <c r="D64" s="14"/>
    </row>
    <row r="65" spans="1:4" x14ac:dyDescent="0.3">
      <c r="A65" s="11" t="s">
        <v>26</v>
      </c>
      <c r="B65" s="3" t="s">
        <v>112</v>
      </c>
      <c r="C65" s="4"/>
      <c r="D65" s="15"/>
    </row>
    <row r="66" spans="1:4" x14ac:dyDescent="0.3">
      <c r="A66" s="11" t="s">
        <v>99</v>
      </c>
      <c r="B66" s="55">
        <v>2022</v>
      </c>
      <c r="C66" s="4"/>
      <c r="D66" s="15"/>
    </row>
    <row r="67" spans="1:4" x14ac:dyDescent="0.3">
      <c r="A67" s="16"/>
      <c r="B67" s="5"/>
      <c r="C67" s="5"/>
      <c r="D67" s="17"/>
    </row>
    <row r="68" spans="1:4" x14ac:dyDescent="0.3">
      <c r="A68" s="39" t="s">
        <v>94</v>
      </c>
      <c r="B68" s="40"/>
      <c r="C68" s="41" t="s">
        <v>5</v>
      </c>
      <c r="D68" s="42" t="s">
        <v>6</v>
      </c>
    </row>
    <row r="69" spans="1:4" x14ac:dyDescent="0.3">
      <c r="A69" s="18"/>
      <c r="B69" s="6"/>
      <c r="C69" s="7"/>
      <c r="D69" s="19"/>
    </row>
    <row r="70" spans="1:4" x14ac:dyDescent="0.3">
      <c r="A70" s="26" t="s">
        <v>16</v>
      </c>
      <c r="B70" s="27"/>
      <c r="C70" s="28">
        <v>584</v>
      </c>
      <c r="D70" s="29"/>
    </row>
    <row r="71" spans="1:4" x14ac:dyDescent="0.3">
      <c r="A71" s="26" t="s">
        <v>109</v>
      </c>
      <c r="B71" s="27"/>
      <c r="C71" s="28"/>
      <c r="D71" s="29"/>
    </row>
    <row r="72" spans="1:4" x14ac:dyDescent="0.3">
      <c r="A72" s="26" t="s">
        <v>8</v>
      </c>
      <c r="B72" s="27"/>
      <c r="C72" s="28"/>
      <c r="D72" s="29"/>
    </row>
    <row r="73" spans="1:4" x14ac:dyDescent="0.3">
      <c r="A73" s="26" t="s">
        <v>9</v>
      </c>
      <c r="B73" s="27"/>
      <c r="C73" s="28"/>
      <c r="D73" s="29"/>
    </row>
    <row r="74" spans="1:4" x14ac:dyDescent="0.3">
      <c r="A74" s="26"/>
      <c r="B74" s="27" t="s">
        <v>10</v>
      </c>
      <c r="C74" s="28"/>
      <c r="D74" s="29">
        <f>C70*9.45%</f>
        <v>55.187999999999995</v>
      </c>
    </row>
    <row r="75" spans="1:4" x14ac:dyDescent="0.3">
      <c r="A75" s="26"/>
      <c r="B75" s="27" t="s">
        <v>11</v>
      </c>
      <c r="C75" s="28"/>
      <c r="D75" s="29">
        <v>37.42</v>
      </c>
    </row>
    <row r="76" spans="1:4" x14ac:dyDescent="0.3">
      <c r="A76" s="26"/>
      <c r="B76" s="27" t="s">
        <v>55</v>
      </c>
      <c r="C76" s="28"/>
      <c r="D76" s="29">
        <v>292</v>
      </c>
    </row>
    <row r="77" spans="1:4" x14ac:dyDescent="0.3">
      <c r="A77" s="26"/>
      <c r="B77" s="27" t="s">
        <v>72</v>
      </c>
      <c r="C77" s="28"/>
      <c r="D77" s="29">
        <v>142.65</v>
      </c>
    </row>
    <row r="78" spans="1:4" x14ac:dyDescent="0.3">
      <c r="A78" s="26"/>
      <c r="B78" s="27" t="s">
        <v>18</v>
      </c>
      <c r="C78" s="28"/>
      <c r="D78" s="29"/>
    </row>
    <row r="79" spans="1:4" x14ac:dyDescent="0.3">
      <c r="A79" s="26"/>
      <c r="B79" s="27"/>
      <c r="C79" s="28"/>
      <c r="D79" s="29"/>
    </row>
    <row r="80" spans="1:4" x14ac:dyDescent="0.3">
      <c r="A80" s="21"/>
      <c r="B80" s="8"/>
      <c r="C80" s="1"/>
      <c r="D80" s="20"/>
    </row>
    <row r="81" spans="1:4" x14ac:dyDescent="0.3">
      <c r="A81" s="43"/>
      <c r="B81" s="44" t="s">
        <v>12</v>
      </c>
      <c r="C81" s="46">
        <f>SUM(C70:C80)</f>
        <v>584</v>
      </c>
      <c r="D81" s="50">
        <f>SUM(D70:D80)</f>
        <v>527.25800000000004</v>
      </c>
    </row>
    <row r="82" spans="1:4" x14ac:dyDescent="0.3">
      <c r="A82" s="21"/>
      <c r="B82" s="3"/>
      <c r="C82" s="3"/>
      <c r="D82" s="22"/>
    </row>
    <row r="83" spans="1:4" ht="28.2" x14ac:dyDescent="0.3">
      <c r="A83" s="21"/>
      <c r="B83" s="45"/>
      <c r="C83" s="47" t="s">
        <v>13</v>
      </c>
      <c r="D83" s="51">
        <f>+C81-D81</f>
        <v>56.741999999999962</v>
      </c>
    </row>
    <row r="84" spans="1:4" x14ac:dyDescent="0.3">
      <c r="A84" s="21"/>
      <c r="B84" s="3"/>
      <c r="C84" s="3"/>
      <c r="D84" s="22"/>
    </row>
    <row r="85" spans="1:4" x14ac:dyDescent="0.3">
      <c r="A85" s="23"/>
      <c r="B85" s="4" t="s">
        <v>14</v>
      </c>
      <c r="C85" s="2"/>
      <c r="D85" s="24"/>
    </row>
    <row r="86" spans="1:4" ht="15" thickBot="1" x14ac:dyDescent="0.35">
      <c r="A86" s="23"/>
      <c r="B86" s="9"/>
      <c r="C86" s="9"/>
      <c r="D86" s="24"/>
    </row>
    <row r="87" spans="1:4" x14ac:dyDescent="0.3">
      <c r="A87" s="300" t="s">
        <v>28</v>
      </c>
      <c r="B87" s="300" t="s">
        <v>29</v>
      </c>
      <c r="C87" s="302" t="s">
        <v>30</v>
      </c>
      <c r="D87" s="303"/>
    </row>
    <row r="88" spans="1:4" ht="15" thickBot="1" x14ac:dyDescent="0.35">
      <c r="A88" s="301"/>
      <c r="B88" s="301"/>
      <c r="C88" s="304"/>
      <c r="D88" s="30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7"/>
      <c r="B98" s="34"/>
      <c r="C98" s="32"/>
      <c r="D98" s="25"/>
    </row>
    <row r="99" spans="1:4" x14ac:dyDescent="0.3">
      <c r="A99" s="38" t="s">
        <v>20</v>
      </c>
      <c r="B99" s="35" t="s">
        <v>21</v>
      </c>
      <c r="C99" s="290" t="s">
        <v>70</v>
      </c>
      <c r="D99" s="291"/>
    </row>
    <row r="100" spans="1:4" ht="15" thickBot="1" x14ac:dyDescent="0.35">
      <c r="A100" s="36" t="s">
        <v>22</v>
      </c>
      <c r="B100" s="33" t="s">
        <v>23</v>
      </c>
      <c r="C100" s="292" t="s">
        <v>71</v>
      </c>
      <c r="D100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69</v>
      </c>
      <c r="C112" s="3"/>
      <c r="D112" s="12"/>
    </row>
    <row r="113" spans="1:7" x14ac:dyDescent="0.3">
      <c r="A113" s="11" t="s">
        <v>2</v>
      </c>
      <c r="B113" s="55">
        <v>1712044146</v>
      </c>
      <c r="C113" s="4"/>
      <c r="D113" s="13"/>
    </row>
    <row r="114" spans="1:7" x14ac:dyDescent="0.3">
      <c r="A114" s="11" t="s">
        <v>3</v>
      </c>
      <c r="B114" s="3" t="s">
        <v>66</v>
      </c>
      <c r="C114" s="4"/>
      <c r="D114" s="14"/>
    </row>
    <row r="115" spans="1:7" x14ac:dyDescent="0.3">
      <c r="A115" s="11" t="s">
        <v>26</v>
      </c>
      <c r="B115" s="3" t="s">
        <v>113</v>
      </c>
      <c r="C115" s="4"/>
      <c r="D115" s="15"/>
    </row>
    <row r="116" spans="1:7" x14ac:dyDescent="0.3">
      <c r="A116" s="11" t="s">
        <v>99</v>
      </c>
      <c r="B116" s="55">
        <v>2022</v>
      </c>
      <c r="C116" s="4"/>
      <c r="D116" s="15"/>
    </row>
    <row r="117" spans="1:7" x14ac:dyDescent="0.3">
      <c r="A117" s="16"/>
      <c r="B117" s="5"/>
      <c r="C117" s="5"/>
      <c r="D117" s="17"/>
    </row>
    <row r="118" spans="1:7" x14ac:dyDescent="0.3">
      <c r="A118" s="39" t="s">
        <v>94</v>
      </c>
      <c r="B118" s="40"/>
      <c r="C118" s="41" t="s">
        <v>5</v>
      </c>
      <c r="D118" s="42" t="s">
        <v>6</v>
      </c>
    </row>
    <row r="119" spans="1:7" x14ac:dyDescent="0.3">
      <c r="A119" s="18"/>
      <c r="B119" s="6"/>
      <c r="C119" s="7"/>
      <c r="D119" s="19"/>
    </row>
    <row r="120" spans="1:7" x14ac:dyDescent="0.3">
      <c r="A120" s="26" t="s">
        <v>16</v>
      </c>
      <c r="B120" s="27"/>
      <c r="C120" s="28">
        <v>584</v>
      </c>
      <c r="D120" s="29"/>
    </row>
    <row r="121" spans="1:7" x14ac:dyDescent="0.3">
      <c r="A121" s="26" t="s">
        <v>109</v>
      </c>
      <c r="B121" s="27"/>
      <c r="C121" s="28"/>
      <c r="D121" s="29"/>
    </row>
    <row r="122" spans="1:7" x14ac:dyDescent="0.3">
      <c r="A122" s="26" t="s">
        <v>8</v>
      </c>
      <c r="B122" s="27"/>
      <c r="C122" s="28"/>
      <c r="D122" s="29"/>
    </row>
    <row r="123" spans="1:7" x14ac:dyDescent="0.3">
      <c r="A123" s="26" t="s">
        <v>9</v>
      </c>
      <c r="B123" s="27"/>
      <c r="C123" s="28"/>
      <c r="D123" s="29"/>
      <c r="E123" s="60">
        <v>0.20599999999999999</v>
      </c>
      <c r="F123" s="60">
        <v>9.4500000000000001E-2</v>
      </c>
      <c r="G123" s="60">
        <f>E123-F123</f>
        <v>0.11149999999999999</v>
      </c>
    </row>
    <row r="124" spans="1:7" x14ac:dyDescent="0.3">
      <c r="A124" s="26"/>
      <c r="B124" s="27" t="s">
        <v>19</v>
      </c>
      <c r="C124" s="28"/>
      <c r="D124" s="29">
        <f>C120*9.45%</f>
        <v>55.187999999999995</v>
      </c>
      <c r="E124" s="61">
        <f>C120</f>
        <v>584</v>
      </c>
      <c r="F124" s="57">
        <f>E124*F123</f>
        <v>55.188000000000002</v>
      </c>
      <c r="G124" s="57">
        <f>E124*G123</f>
        <v>65.116</v>
      </c>
    </row>
    <row r="125" spans="1:7" x14ac:dyDescent="0.3">
      <c r="A125" s="26"/>
      <c r="B125" s="27" t="s">
        <v>11</v>
      </c>
      <c r="C125" s="28"/>
      <c r="D125" s="29">
        <v>37.42</v>
      </c>
    </row>
    <row r="126" spans="1:7" x14ac:dyDescent="0.3">
      <c r="A126" s="26"/>
      <c r="B126" s="27" t="s">
        <v>55</v>
      </c>
      <c r="C126" s="28"/>
      <c r="D126" s="29">
        <v>292</v>
      </c>
    </row>
    <row r="127" spans="1:7" x14ac:dyDescent="0.3">
      <c r="A127" s="26"/>
      <c r="B127" s="27" t="s">
        <v>72</v>
      </c>
      <c r="C127" s="28"/>
      <c r="D127" s="29">
        <v>141.38</v>
      </c>
    </row>
    <row r="128" spans="1:7" x14ac:dyDescent="0.3">
      <c r="A128" s="26"/>
      <c r="B128" s="27" t="s">
        <v>18</v>
      </c>
      <c r="C128" s="28"/>
      <c r="D128" s="29"/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584</v>
      </c>
      <c r="D131" s="50">
        <f>SUM(D120:D130)</f>
        <v>525.98800000000006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58.011999999999944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29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8" t="s">
        <v>20</v>
      </c>
      <c r="B149" s="35" t="s">
        <v>21</v>
      </c>
      <c r="C149" s="290" t="s">
        <v>70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71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69</v>
      </c>
      <c r="C162" s="3"/>
      <c r="D162" s="12"/>
    </row>
    <row r="163" spans="1:4" x14ac:dyDescent="0.3">
      <c r="A163" s="11" t="s">
        <v>2</v>
      </c>
      <c r="B163" s="55">
        <v>1712044146</v>
      </c>
      <c r="C163" s="4"/>
      <c r="D163" s="13"/>
    </row>
    <row r="164" spans="1:4" x14ac:dyDescent="0.3">
      <c r="A164" s="11" t="s">
        <v>3</v>
      </c>
      <c r="B164" s="3" t="s">
        <v>66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584</v>
      </c>
      <c r="D170" s="29"/>
    </row>
    <row r="171" spans="1:4" x14ac:dyDescent="0.3">
      <c r="A171" s="26" t="s">
        <v>109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19</v>
      </c>
      <c r="C174" s="28"/>
      <c r="D174" s="29">
        <f>C170*9.45%</f>
        <v>55.187999999999995</v>
      </c>
    </row>
    <row r="175" spans="1:4" x14ac:dyDescent="0.3">
      <c r="A175" s="26"/>
      <c r="B175" s="27" t="s">
        <v>11</v>
      </c>
      <c r="C175" s="28"/>
      <c r="D175" s="29">
        <v>26.66</v>
      </c>
    </row>
    <row r="176" spans="1:4" x14ac:dyDescent="0.3">
      <c r="A176" s="26"/>
      <c r="B176" s="27" t="s">
        <v>55</v>
      </c>
      <c r="C176" s="28"/>
      <c r="D176" s="29">
        <v>292</v>
      </c>
    </row>
    <row r="177" spans="1:4" x14ac:dyDescent="0.3">
      <c r="A177" s="26"/>
      <c r="B177" s="27" t="s">
        <v>72</v>
      </c>
      <c r="C177" s="28"/>
      <c r="D177" s="29">
        <v>141.34</v>
      </c>
    </row>
    <row r="178" spans="1:4" x14ac:dyDescent="0.3">
      <c r="A178" s="26"/>
      <c r="B178" s="27" t="s">
        <v>18</v>
      </c>
      <c r="C178" s="28"/>
      <c r="D178" s="29"/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584</v>
      </c>
      <c r="D181" s="50">
        <f>SUM(D170:D180)</f>
        <v>515.18799999999999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68.812000000000012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29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70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71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69</v>
      </c>
      <c r="C212" s="3"/>
      <c r="D212" s="12"/>
    </row>
    <row r="213" spans="1:4" x14ac:dyDescent="0.3">
      <c r="A213" s="11" t="s">
        <v>2</v>
      </c>
      <c r="B213" s="55">
        <v>1712044146</v>
      </c>
      <c r="C213" s="4"/>
      <c r="D213" s="13"/>
    </row>
    <row r="214" spans="1:4" x14ac:dyDescent="0.3">
      <c r="A214" s="11" t="s">
        <v>3</v>
      </c>
      <c r="B214" s="3" t="s">
        <v>66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584</v>
      </c>
      <c r="D220" s="29"/>
    </row>
    <row r="221" spans="1:4" x14ac:dyDescent="0.3">
      <c r="A221" s="26" t="s">
        <v>109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19</v>
      </c>
      <c r="C224" s="28"/>
      <c r="D224" s="29">
        <f>C220*9.45%</f>
        <v>55.187999999999995</v>
      </c>
    </row>
    <row r="225" spans="1:4" x14ac:dyDescent="0.3">
      <c r="A225" s="26"/>
      <c r="B225" s="27" t="s">
        <v>11</v>
      </c>
      <c r="C225" s="28"/>
      <c r="D225" s="29">
        <v>64.73</v>
      </c>
    </row>
    <row r="226" spans="1:4" x14ac:dyDescent="0.3">
      <c r="A226" s="26"/>
      <c r="B226" s="27" t="s">
        <v>55</v>
      </c>
      <c r="C226" s="28"/>
      <c r="D226" s="29">
        <v>292</v>
      </c>
    </row>
    <row r="227" spans="1:4" x14ac:dyDescent="0.3">
      <c r="A227" s="26"/>
      <c r="B227" s="27" t="s">
        <v>72</v>
      </c>
      <c r="C227" s="28"/>
      <c r="D227" s="29">
        <v>141.38</v>
      </c>
    </row>
    <row r="228" spans="1:4" x14ac:dyDescent="0.3">
      <c r="A228" s="26"/>
      <c r="B228" s="27" t="s">
        <v>18</v>
      </c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584</v>
      </c>
      <c r="D231" s="50">
        <f>SUM(D220:D230)</f>
        <v>553.298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30.701999999999998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29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70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71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69</v>
      </c>
      <c r="C262" s="3"/>
      <c r="D262" s="12"/>
    </row>
    <row r="263" spans="1:4" x14ac:dyDescent="0.3">
      <c r="A263" s="11" t="s">
        <v>2</v>
      </c>
      <c r="B263" s="55">
        <v>1712044146</v>
      </c>
      <c r="C263" s="4"/>
      <c r="D263" s="13"/>
    </row>
    <row r="264" spans="1:4" x14ac:dyDescent="0.3">
      <c r="A264" s="11" t="s">
        <v>3</v>
      </c>
      <c r="B264" s="3" t="s">
        <v>66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584</v>
      </c>
      <c r="D270" s="29"/>
    </row>
    <row r="271" spans="1:4" x14ac:dyDescent="0.3">
      <c r="A271" s="26" t="s">
        <v>109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19</v>
      </c>
      <c r="C274" s="28"/>
      <c r="D274" s="29">
        <f>C270*9.45%</f>
        <v>55.187999999999995</v>
      </c>
    </row>
    <row r="275" spans="1:4" x14ac:dyDescent="0.3">
      <c r="A275" s="26"/>
      <c r="B275" s="27" t="s">
        <v>11</v>
      </c>
      <c r="C275" s="28"/>
      <c r="D275" s="29">
        <v>64.73</v>
      </c>
    </row>
    <row r="276" spans="1:4" x14ac:dyDescent="0.3">
      <c r="A276" s="26"/>
      <c r="B276" s="27" t="s">
        <v>55</v>
      </c>
      <c r="C276" s="28"/>
      <c r="D276" s="29">
        <v>292</v>
      </c>
    </row>
    <row r="277" spans="1:4" x14ac:dyDescent="0.3">
      <c r="A277" s="26"/>
      <c r="B277" s="27" t="s">
        <v>72</v>
      </c>
      <c r="C277" s="28"/>
      <c r="D277" s="29">
        <v>141.34</v>
      </c>
    </row>
    <row r="278" spans="1:4" x14ac:dyDescent="0.3">
      <c r="A278" s="26"/>
      <c r="B278" s="27" t="s">
        <v>18</v>
      </c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584</v>
      </c>
      <c r="D281" s="50">
        <f>SUM(D270:D280)</f>
        <v>553.25800000000004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30.741999999999962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29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70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71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69</v>
      </c>
      <c r="C312" s="3"/>
      <c r="D312" s="12"/>
    </row>
    <row r="313" spans="1:4" x14ac:dyDescent="0.3">
      <c r="A313" s="11" t="s">
        <v>2</v>
      </c>
      <c r="B313" s="55">
        <v>1712044146</v>
      </c>
      <c r="C313" s="4"/>
      <c r="D313" s="13"/>
    </row>
    <row r="314" spans="1:4" x14ac:dyDescent="0.3">
      <c r="A314" s="11" t="s">
        <v>3</v>
      </c>
      <c r="B314" s="3" t="s">
        <v>66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584</v>
      </c>
      <c r="D320" s="29"/>
    </row>
    <row r="321" spans="1:4" x14ac:dyDescent="0.3">
      <c r="A321" s="26" t="s">
        <v>109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19</v>
      </c>
      <c r="C324" s="28"/>
      <c r="D324" s="29">
        <f>C320*9.45%</f>
        <v>55.187999999999995</v>
      </c>
    </row>
    <row r="325" spans="1:4" x14ac:dyDescent="0.3">
      <c r="A325" s="26"/>
      <c r="B325" s="27" t="s">
        <v>11</v>
      </c>
      <c r="C325" s="28"/>
      <c r="D325" s="29">
        <v>64.73</v>
      </c>
    </row>
    <row r="326" spans="1:4" x14ac:dyDescent="0.3">
      <c r="A326" s="26"/>
      <c r="B326" s="27" t="s">
        <v>55</v>
      </c>
      <c r="C326" s="28"/>
      <c r="D326" s="29">
        <v>292</v>
      </c>
    </row>
    <row r="327" spans="1:4" x14ac:dyDescent="0.3">
      <c r="A327" s="26"/>
      <c r="B327" s="27" t="s">
        <v>72</v>
      </c>
      <c r="C327" s="28"/>
      <c r="D327" s="29">
        <v>141.4</v>
      </c>
    </row>
    <row r="328" spans="1:4" x14ac:dyDescent="0.3">
      <c r="A328" s="26"/>
      <c r="B328" s="27" t="s">
        <v>18</v>
      </c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584</v>
      </c>
      <c r="D331" s="50">
        <f>SUM(D320:D330)</f>
        <v>553.31799999999998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30.682000000000016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29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70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71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69</v>
      </c>
      <c r="C362" s="3"/>
      <c r="D362" s="12"/>
    </row>
    <row r="363" spans="1:4" x14ac:dyDescent="0.3">
      <c r="A363" s="11" t="s">
        <v>2</v>
      </c>
      <c r="B363" s="55">
        <v>1712044146</v>
      </c>
      <c r="C363" s="4"/>
      <c r="D363" s="13"/>
    </row>
    <row r="364" spans="1:4" x14ac:dyDescent="0.3">
      <c r="A364" s="11" t="s">
        <v>3</v>
      </c>
      <c r="B364" s="3" t="s">
        <v>66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x14ac:dyDescent="0.3">
      <c r="A371" s="26" t="s">
        <v>109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19</v>
      </c>
      <c r="C374" s="28"/>
      <c r="D374" s="29">
        <f>C370*9.45%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72</v>
      </c>
      <c r="C377" s="28"/>
      <c r="D377" s="29"/>
    </row>
    <row r="378" spans="1:4" x14ac:dyDescent="0.3">
      <c r="A378" s="26"/>
      <c r="B378" s="27" t="s">
        <v>18</v>
      </c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425</v>
      </c>
      <c r="D381" s="50">
        <f>SUM(D370:D380)</f>
        <v>0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425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29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70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71</v>
      </c>
      <c r="D400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69</v>
      </c>
      <c r="C412" s="3"/>
      <c r="D412" s="12"/>
    </row>
    <row r="413" spans="1:4" x14ac:dyDescent="0.3">
      <c r="A413" s="11" t="s">
        <v>2</v>
      </c>
      <c r="B413" s="55">
        <v>1712044146</v>
      </c>
      <c r="C413" s="4"/>
      <c r="D413" s="13"/>
    </row>
    <row r="414" spans="1:4" x14ac:dyDescent="0.3">
      <c r="A414" s="11" t="s">
        <v>3</v>
      </c>
      <c r="B414" s="3" t="s">
        <v>66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584</v>
      </c>
      <c r="D420" s="29"/>
    </row>
    <row r="421" spans="1:4" x14ac:dyDescent="0.3">
      <c r="A421" s="26" t="s">
        <v>109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19</v>
      </c>
      <c r="C424" s="28"/>
      <c r="D424" s="29">
        <f>C420*9.45%</f>
        <v>55.187999999999995</v>
      </c>
    </row>
    <row r="425" spans="1:4" x14ac:dyDescent="0.3">
      <c r="A425" s="26"/>
      <c r="B425" s="27" t="s">
        <v>11</v>
      </c>
      <c r="C425" s="28"/>
      <c r="D425" s="29">
        <v>87.99</v>
      </c>
    </row>
    <row r="426" spans="1:4" x14ac:dyDescent="0.3">
      <c r="A426" s="26"/>
      <c r="B426" s="27" t="s">
        <v>55</v>
      </c>
      <c r="C426" s="28"/>
      <c r="D426" s="29">
        <v>292</v>
      </c>
    </row>
    <row r="427" spans="1:4" x14ac:dyDescent="0.3">
      <c r="A427" s="26"/>
      <c r="B427" s="27" t="s">
        <v>72</v>
      </c>
      <c r="C427" s="28"/>
      <c r="D427" s="29">
        <v>141.44999999999999</v>
      </c>
    </row>
    <row r="428" spans="1:4" x14ac:dyDescent="0.3">
      <c r="A428" s="26"/>
      <c r="B428" s="27" t="s">
        <v>18</v>
      </c>
      <c r="C428" s="28"/>
      <c r="D428" s="29"/>
    </row>
    <row r="429" spans="1:4" x14ac:dyDescent="0.3">
      <c r="A429" s="26"/>
      <c r="B429" s="27"/>
      <c r="C429" s="28"/>
      <c r="D429" s="29"/>
    </row>
    <row r="430" spans="1:4" x14ac:dyDescent="0.3">
      <c r="A430" s="21"/>
      <c r="B430" s="8"/>
      <c r="C430" s="1"/>
      <c r="D430" s="20"/>
    </row>
    <row r="431" spans="1:4" x14ac:dyDescent="0.3">
      <c r="A431" s="43"/>
      <c r="B431" s="44" t="s">
        <v>12</v>
      </c>
      <c r="C431" s="46">
        <f>SUM(C420:C430)</f>
        <v>584</v>
      </c>
      <c r="D431" s="50">
        <f>SUM(D420:D430)</f>
        <v>576.62799999999993</v>
      </c>
    </row>
    <row r="432" spans="1:4" x14ac:dyDescent="0.3">
      <c r="A432" s="21"/>
      <c r="B432" s="3"/>
      <c r="C432" s="3"/>
      <c r="D432" s="22"/>
    </row>
    <row r="433" spans="1:4" ht="28.2" x14ac:dyDescent="0.3">
      <c r="A433" s="21"/>
      <c r="B433" s="45"/>
      <c r="C433" s="47" t="s">
        <v>13</v>
      </c>
      <c r="D433" s="51">
        <f>+C431-D431</f>
        <v>7.3720000000000709</v>
      </c>
    </row>
    <row r="434" spans="1:4" x14ac:dyDescent="0.3">
      <c r="A434" s="21"/>
      <c r="B434" s="3"/>
      <c r="C434" s="3"/>
      <c r="D434" s="22"/>
    </row>
    <row r="435" spans="1:4" x14ac:dyDescent="0.3">
      <c r="A435" s="23"/>
      <c r="B435" s="4" t="s">
        <v>14</v>
      </c>
      <c r="C435" s="2"/>
      <c r="D435" s="24"/>
    </row>
    <row r="436" spans="1:4" ht="15" thickBot="1" x14ac:dyDescent="0.35">
      <c r="A436" s="23"/>
      <c r="B436" s="9"/>
      <c r="C436" s="9"/>
      <c r="D436" s="24"/>
    </row>
    <row r="437" spans="1:4" x14ac:dyDescent="0.3">
      <c r="A437" s="300" t="s">
        <v>28</v>
      </c>
      <c r="B437" s="300" t="s">
        <v>29</v>
      </c>
      <c r="C437" s="302" t="s">
        <v>30</v>
      </c>
      <c r="D437" s="303"/>
    </row>
    <row r="438" spans="1:4" ht="15" thickBot="1" x14ac:dyDescent="0.35">
      <c r="A438" s="301"/>
      <c r="B438" s="301"/>
      <c r="C438" s="304"/>
      <c r="D438" s="30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8" t="s">
        <v>20</v>
      </c>
      <c r="B449" s="35" t="s">
        <v>21</v>
      </c>
      <c r="C449" s="290" t="s">
        <v>70</v>
      </c>
      <c r="D449" s="291"/>
    </row>
    <row r="450" spans="1:4" ht="15" thickBot="1" x14ac:dyDescent="0.35">
      <c r="A450" s="36" t="s">
        <v>22</v>
      </c>
      <c r="B450" s="33" t="s">
        <v>23</v>
      </c>
      <c r="C450" s="292" t="s">
        <v>71</v>
      </c>
      <c r="D450" s="293"/>
    </row>
  </sheetData>
  <mergeCells count="63">
    <mergeCell ref="C449:D449"/>
    <mergeCell ref="C450:D450"/>
    <mergeCell ref="A405:D405"/>
    <mergeCell ref="A410:D410"/>
    <mergeCell ref="A437:A438"/>
    <mergeCell ref="B437:B438"/>
    <mergeCell ref="C437:D438"/>
    <mergeCell ref="C349:D349"/>
    <mergeCell ref="C350:D350"/>
    <mergeCell ref="A305:D305"/>
    <mergeCell ref="A310:D310"/>
    <mergeCell ref="A337:A338"/>
    <mergeCell ref="B337:B338"/>
    <mergeCell ref="C337:D33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9:D99"/>
    <mergeCell ref="C100:D100"/>
    <mergeCell ref="A55:D55"/>
    <mergeCell ref="A60:D60"/>
    <mergeCell ref="A87:A88"/>
    <mergeCell ref="B87:B88"/>
    <mergeCell ref="C87:D88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99:D399"/>
    <mergeCell ref="C400:D400"/>
    <mergeCell ref="A355:D355"/>
    <mergeCell ref="A360:D360"/>
    <mergeCell ref="A387:A388"/>
    <mergeCell ref="B387:B388"/>
    <mergeCell ref="C387:D388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F500"/>
  <sheetViews>
    <sheetView tabSelected="1" topLeftCell="A314" zoomScale="90" zoomScaleNormal="90" workbookViewId="0">
      <selection activeCell="E324" sqref="E324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111</v>
      </c>
      <c r="C9" s="3"/>
      <c r="D9" s="12"/>
    </row>
    <row r="10" spans="1:4" x14ac:dyDescent="0.3">
      <c r="A10" s="11" t="s">
        <v>2</v>
      </c>
      <c r="B10" s="55">
        <v>2100689831</v>
      </c>
      <c r="C10" s="4"/>
      <c r="D10" s="13"/>
    </row>
    <row r="11" spans="1:4" x14ac:dyDescent="0.3">
      <c r="A11" s="11" t="s">
        <v>3</v>
      </c>
      <c r="B11" s="3" t="s">
        <v>66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6" x14ac:dyDescent="0.3">
      <c r="A17" s="26" t="s">
        <v>16</v>
      </c>
      <c r="B17" s="27"/>
      <c r="C17" s="28">
        <f>(566/30)*28</f>
        <v>528.26666666666665</v>
      </c>
      <c r="D17" s="29"/>
      <c r="F17" s="57">
        <f>C17*11.65%</f>
        <v>61.543066666666668</v>
      </c>
    </row>
    <row r="18" spans="1:6" x14ac:dyDescent="0.3">
      <c r="A18" s="26" t="s">
        <v>7</v>
      </c>
      <c r="B18" s="27"/>
      <c r="C18" s="28"/>
      <c r="D18" s="29"/>
    </row>
    <row r="19" spans="1:6" x14ac:dyDescent="0.3">
      <c r="A19" s="26" t="s">
        <v>8</v>
      </c>
      <c r="B19" s="27"/>
      <c r="C19" s="28"/>
      <c r="D19" s="29"/>
    </row>
    <row r="20" spans="1:6" x14ac:dyDescent="0.3">
      <c r="A20" s="26" t="s">
        <v>9</v>
      </c>
      <c r="B20" s="27"/>
      <c r="C20" s="28"/>
      <c r="D20" s="29"/>
    </row>
    <row r="21" spans="1:6" x14ac:dyDescent="0.3">
      <c r="A21" s="26"/>
      <c r="B21" s="27" t="s">
        <v>10</v>
      </c>
      <c r="C21" s="28"/>
      <c r="D21" s="29">
        <f>C17*11.45%</f>
        <v>60.486533333333327</v>
      </c>
    </row>
    <row r="22" spans="1:6" x14ac:dyDescent="0.3">
      <c r="A22" s="26"/>
      <c r="B22" s="27" t="s">
        <v>11</v>
      </c>
      <c r="C22" s="28"/>
      <c r="D22" s="29"/>
    </row>
    <row r="23" spans="1:6" x14ac:dyDescent="0.3">
      <c r="A23" s="26"/>
      <c r="B23" s="27" t="s">
        <v>55</v>
      </c>
      <c r="C23" s="28"/>
      <c r="D23" s="29"/>
    </row>
    <row r="24" spans="1:6" x14ac:dyDescent="0.3">
      <c r="A24" s="26"/>
      <c r="B24" s="27" t="s">
        <v>72</v>
      </c>
      <c r="C24" s="28"/>
      <c r="D24" s="29"/>
    </row>
    <row r="25" spans="1:6" x14ac:dyDescent="0.3">
      <c r="A25" s="26"/>
      <c r="B25" s="27" t="s">
        <v>18</v>
      </c>
      <c r="C25" s="28"/>
      <c r="D25" s="29"/>
    </row>
    <row r="26" spans="1:6" x14ac:dyDescent="0.3">
      <c r="A26" s="26"/>
      <c r="B26" s="27"/>
      <c r="C26" s="28"/>
      <c r="D26" s="29"/>
    </row>
    <row r="27" spans="1:6" x14ac:dyDescent="0.3">
      <c r="A27" s="21"/>
      <c r="B27" s="8"/>
      <c r="C27" s="1"/>
      <c r="D27" s="20"/>
    </row>
    <row r="28" spans="1:6" x14ac:dyDescent="0.3">
      <c r="A28" s="43"/>
      <c r="B28" s="44" t="s">
        <v>12</v>
      </c>
      <c r="C28" s="46">
        <f>SUM(C17:C27)</f>
        <v>528.26666666666665</v>
      </c>
      <c r="D28" s="50">
        <f>SUM(D17:D27)</f>
        <v>60.486533333333327</v>
      </c>
    </row>
    <row r="29" spans="1:6" x14ac:dyDescent="0.3">
      <c r="A29" s="21"/>
      <c r="B29" s="3"/>
      <c r="C29" s="3"/>
      <c r="D29" s="22"/>
    </row>
    <row r="30" spans="1:6" ht="28.2" x14ac:dyDescent="0.3">
      <c r="A30" s="21"/>
      <c r="B30" s="45"/>
      <c r="C30" s="47" t="s">
        <v>13</v>
      </c>
      <c r="D30" s="51">
        <f>+C28-D28</f>
        <v>467.78013333333331</v>
      </c>
    </row>
    <row r="31" spans="1:6" x14ac:dyDescent="0.3">
      <c r="A31" s="21"/>
      <c r="B31" s="3"/>
      <c r="C31" s="3"/>
      <c r="D31" s="22"/>
    </row>
    <row r="32" spans="1:6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115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114</v>
      </c>
      <c r="D47" s="293"/>
    </row>
    <row r="54" spans="1:4" ht="15" thickBot="1" x14ac:dyDescent="0.35"/>
    <row r="55" spans="1:4" ht="25.2" x14ac:dyDescent="0.3">
      <c r="A55" s="294"/>
      <c r="B55" s="295"/>
      <c r="C55" s="295"/>
      <c r="D55" s="296"/>
    </row>
    <row r="56" spans="1:4" x14ac:dyDescent="0.3">
      <c r="A56" s="31"/>
      <c r="B56" s="48"/>
      <c r="C56" s="2"/>
      <c r="D56" s="30"/>
    </row>
    <row r="57" spans="1:4" x14ac:dyDescent="0.3">
      <c r="A57" s="31"/>
      <c r="B57" s="49"/>
      <c r="C57" s="2"/>
      <c r="D57" s="30"/>
    </row>
    <row r="58" spans="1:4" x14ac:dyDescent="0.3">
      <c r="A58" s="31"/>
      <c r="B58" s="49"/>
      <c r="C58" s="2"/>
      <c r="D58" s="30"/>
    </row>
    <row r="59" spans="1:4" ht="15" thickBot="1" x14ac:dyDescent="0.35">
      <c r="A59" s="31"/>
      <c r="B59" s="2"/>
      <c r="C59" s="2"/>
      <c r="D59" s="30"/>
    </row>
    <row r="60" spans="1:4" ht="25.8" thickBot="1" x14ac:dyDescent="0.35">
      <c r="A60" s="297" t="s">
        <v>0</v>
      </c>
      <c r="B60" s="298"/>
      <c r="C60" s="298"/>
      <c r="D60" s="299"/>
    </row>
    <row r="61" spans="1:4" ht="25.2" x14ac:dyDescent="0.3">
      <c r="A61" s="52"/>
      <c r="B61" s="53"/>
      <c r="C61" s="53"/>
      <c r="D61" s="54"/>
    </row>
    <row r="62" spans="1:4" x14ac:dyDescent="0.3">
      <c r="A62" s="11" t="s">
        <v>1</v>
      </c>
      <c r="B62" s="3" t="s">
        <v>111</v>
      </c>
      <c r="C62" s="3"/>
      <c r="D62" s="12"/>
    </row>
    <row r="63" spans="1:4" x14ac:dyDescent="0.3">
      <c r="A63" s="11" t="s">
        <v>2</v>
      </c>
      <c r="B63" s="55">
        <v>2100689831</v>
      </c>
      <c r="C63" s="4"/>
      <c r="D63" s="13"/>
    </row>
    <row r="64" spans="1:4" x14ac:dyDescent="0.3">
      <c r="A64" s="11" t="s">
        <v>3</v>
      </c>
      <c r="B64" s="3" t="s">
        <v>66</v>
      </c>
      <c r="C64" s="4"/>
      <c r="D64" s="14"/>
    </row>
    <row r="65" spans="1:4" x14ac:dyDescent="0.3">
      <c r="A65" s="11" t="s">
        <v>26</v>
      </c>
      <c r="B65" s="3" t="s">
        <v>112</v>
      </c>
      <c r="C65" s="4"/>
      <c r="D65" s="15"/>
    </row>
    <row r="66" spans="1:4" x14ac:dyDescent="0.3">
      <c r="A66" s="11" t="s">
        <v>99</v>
      </c>
      <c r="B66" s="55">
        <v>2022</v>
      </c>
      <c r="C66" s="4"/>
      <c r="D66" s="15"/>
    </row>
    <row r="67" spans="1:4" x14ac:dyDescent="0.3">
      <c r="A67" s="16"/>
      <c r="B67" s="5"/>
      <c r="C67" s="5"/>
      <c r="D67" s="17"/>
    </row>
    <row r="68" spans="1:4" x14ac:dyDescent="0.3">
      <c r="A68" s="39" t="s">
        <v>94</v>
      </c>
      <c r="B68" s="40"/>
      <c r="C68" s="41" t="s">
        <v>5</v>
      </c>
      <c r="D68" s="42" t="s">
        <v>6</v>
      </c>
    </row>
    <row r="69" spans="1:4" x14ac:dyDescent="0.3">
      <c r="A69" s="18"/>
      <c r="B69" s="6"/>
      <c r="C69" s="7"/>
      <c r="D69" s="19"/>
    </row>
    <row r="70" spans="1:4" x14ac:dyDescent="0.3">
      <c r="A70" s="26" t="s">
        <v>16</v>
      </c>
      <c r="B70" s="27"/>
      <c r="C70" s="28">
        <v>566</v>
      </c>
      <c r="D70" s="29"/>
    </row>
    <row r="71" spans="1:4" x14ac:dyDescent="0.3">
      <c r="A71" s="26" t="s">
        <v>7</v>
      </c>
      <c r="B71" s="27"/>
      <c r="C71" s="28"/>
      <c r="D71" s="29"/>
    </row>
    <row r="72" spans="1:4" x14ac:dyDescent="0.3">
      <c r="A72" s="26" t="s">
        <v>8</v>
      </c>
      <c r="B72" s="27"/>
      <c r="C72" s="28"/>
      <c r="D72" s="29"/>
    </row>
    <row r="73" spans="1:4" x14ac:dyDescent="0.3">
      <c r="A73" s="26" t="s">
        <v>9</v>
      </c>
      <c r="B73" s="27"/>
      <c r="C73" s="28"/>
      <c r="D73" s="29"/>
    </row>
    <row r="74" spans="1:4" x14ac:dyDescent="0.3">
      <c r="A74" s="26"/>
      <c r="B74" s="27" t="s">
        <v>10</v>
      </c>
      <c r="C74" s="28"/>
      <c r="D74" s="29">
        <f>C70*11.45%</f>
        <v>64.806999999999988</v>
      </c>
    </row>
    <row r="75" spans="1:4" x14ac:dyDescent="0.3">
      <c r="A75" s="26"/>
      <c r="B75" s="27" t="s">
        <v>11</v>
      </c>
      <c r="C75" s="28"/>
      <c r="D75" s="29"/>
    </row>
    <row r="76" spans="1:4" x14ac:dyDescent="0.3">
      <c r="A76" s="26"/>
      <c r="B76" s="27" t="s">
        <v>55</v>
      </c>
      <c r="C76" s="28"/>
      <c r="D76" s="29"/>
    </row>
    <row r="77" spans="1:4" x14ac:dyDescent="0.3">
      <c r="A77" s="26"/>
      <c r="B77" s="27" t="s">
        <v>72</v>
      </c>
      <c r="C77" s="28"/>
      <c r="D77" s="29"/>
    </row>
    <row r="78" spans="1:4" x14ac:dyDescent="0.3">
      <c r="A78" s="26"/>
      <c r="B78" s="27" t="s">
        <v>18</v>
      </c>
      <c r="C78" s="28"/>
      <c r="D78" s="29"/>
    </row>
    <row r="79" spans="1:4" x14ac:dyDescent="0.3">
      <c r="A79" s="26"/>
      <c r="B79" s="27"/>
      <c r="C79" s="28"/>
      <c r="D79" s="29"/>
    </row>
    <row r="80" spans="1:4" x14ac:dyDescent="0.3">
      <c r="A80" s="21"/>
      <c r="B80" s="8"/>
      <c r="C80" s="1"/>
      <c r="D80" s="20"/>
    </row>
    <row r="81" spans="1:4" x14ac:dyDescent="0.3">
      <c r="A81" s="43"/>
      <c r="B81" s="44" t="s">
        <v>12</v>
      </c>
      <c r="C81" s="46">
        <f>SUM(C70:C80)</f>
        <v>566</v>
      </c>
      <c r="D81" s="50">
        <f>SUM(D70:D80)</f>
        <v>64.806999999999988</v>
      </c>
    </row>
    <row r="82" spans="1:4" x14ac:dyDescent="0.3">
      <c r="A82" s="21"/>
      <c r="B82" s="3"/>
      <c r="C82" s="3"/>
      <c r="D82" s="22"/>
    </row>
    <row r="83" spans="1:4" ht="28.2" x14ac:dyDescent="0.3">
      <c r="A83" s="21"/>
      <c r="B83" s="45"/>
      <c r="C83" s="47" t="s">
        <v>13</v>
      </c>
      <c r="D83" s="51">
        <f>+C81-D81</f>
        <v>501.19299999999998</v>
      </c>
    </row>
    <row r="84" spans="1:4" x14ac:dyDescent="0.3">
      <c r="A84" s="21"/>
      <c r="B84" s="3"/>
      <c r="C84" s="3"/>
      <c r="D84" s="22"/>
    </row>
    <row r="85" spans="1:4" x14ac:dyDescent="0.3">
      <c r="A85" s="23"/>
      <c r="B85" s="4" t="s">
        <v>14</v>
      </c>
      <c r="C85" s="2"/>
      <c r="D85" s="24"/>
    </row>
    <row r="86" spans="1:4" ht="15" thickBot="1" x14ac:dyDescent="0.35">
      <c r="A86" s="23"/>
      <c r="B86" s="9"/>
      <c r="C86" s="9"/>
      <c r="D86" s="24"/>
    </row>
    <row r="87" spans="1:4" x14ac:dyDescent="0.3">
      <c r="A87" s="300" t="s">
        <v>28</v>
      </c>
      <c r="B87" s="300" t="s">
        <v>93</v>
      </c>
      <c r="C87" s="302" t="s">
        <v>30</v>
      </c>
      <c r="D87" s="303"/>
    </row>
    <row r="88" spans="1:4" ht="15" thickBot="1" x14ac:dyDescent="0.35">
      <c r="A88" s="301"/>
      <c r="B88" s="301"/>
      <c r="C88" s="304"/>
      <c r="D88" s="30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7"/>
      <c r="B98" s="34"/>
      <c r="C98" s="32"/>
      <c r="D98" s="25"/>
    </row>
    <row r="99" spans="1:4" ht="15" customHeight="1" x14ac:dyDescent="0.3">
      <c r="A99" s="38" t="s">
        <v>20</v>
      </c>
      <c r="B99" s="35" t="s">
        <v>21</v>
      </c>
      <c r="C99" s="290" t="s">
        <v>115</v>
      </c>
      <c r="D99" s="291"/>
    </row>
    <row r="100" spans="1:4" ht="15" thickBot="1" x14ac:dyDescent="0.35">
      <c r="A100" s="36" t="s">
        <v>22</v>
      </c>
      <c r="B100" s="33" t="s">
        <v>23</v>
      </c>
      <c r="C100" s="292" t="s">
        <v>114</v>
      </c>
      <c r="D100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111</v>
      </c>
      <c r="C112" s="3"/>
      <c r="D112" s="12"/>
    </row>
    <row r="113" spans="1:4" x14ac:dyDescent="0.3">
      <c r="A113" s="11" t="s">
        <v>2</v>
      </c>
      <c r="B113" s="55">
        <v>2100689831</v>
      </c>
      <c r="C113" s="4"/>
      <c r="D113" s="13"/>
    </row>
    <row r="114" spans="1:4" x14ac:dyDescent="0.3">
      <c r="A114" s="11" t="s">
        <v>3</v>
      </c>
      <c r="B114" s="3" t="s">
        <v>66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566</v>
      </c>
      <c r="D120" s="29"/>
    </row>
    <row r="121" spans="1:4" x14ac:dyDescent="0.3">
      <c r="A121" s="26" t="s">
        <v>7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64.806999999999988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/>
    </row>
    <row r="127" spans="1:4" x14ac:dyDescent="0.3">
      <c r="A127" s="26"/>
      <c r="B127" s="27" t="s">
        <v>72</v>
      </c>
      <c r="C127" s="28"/>
      <c r="D127" s="29"/>
    </row>
    <row r="128" spans="1:4" x14ac:dyDescent="0.3">
      <c r="A128" s="26"/>
      <c r="B128" s="27" t="s">
        <v>18</v>
      </c>
      <c r="C128" s="28"/>
      <c r="D128" s="29"/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566</v>
      </c>
      <c r="D131" s="50">
        <f>SUM(D120:D130)</f>
        <v>64.806999999999988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501.19299999999998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93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ht="15" customHeight="1" x14ac:dyDescent="0.3">
      <c r="A149" s="38" t="s">
        <v>20</v>
      </c>
      <c r="B149" s="35" t="s">
        <v>21</v>
      </c>
      <c r="C149" s="290" t="s">
        <v>115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114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111</v>
      </c>
      <c r="C162" s="3"/>
      <c r="D162" s="12"/>
    </row>
    <row r="163" spans="1:4" x14ac:dyDescent="0.3">
      <c r="A163" s="11" t="s">
        <v>2</v>
      </c>
      <c r="B163" s="55">
        <v>2100689831</v>
      </c>
      <c r="C163" s="4"/>
      <c r="D163" s="13"/>
    </row>
    <row r="164" spans="1:4" x14ac:dyDescent="0.3">
      <c r="A164" s="11" t="s">
        <v>3</v>
      </c>
      <c r="B164" s="3" t="s">
        <v>66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566</v>
      </c>
      <c r="D170" s="29"/>
    </row>
    <row r="171" spans="1:4" x14ac:dyDescent="0.3">
      <c r="A171" s="26" t="s">
        <v>7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10</v>
      </c>
      <c r="C174" s="28"/>
      <c r="D174" s="29">
        <f>C170*11.45%</f>
        <v>64.806999999999988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55</v>
      </c>
      <c r="C176" s="28"/>
      <c r="D176" s="29"/>
    </row>
    <row r="177" spans="1:4" x14ac:dyDescent="0.3">
      <c r="A177" s="26"/>
      <c r="B177" s="27" t="s">
        <v>72</v>
      </c>
      <c r="C177" s="28"/>
      <c r="D177" s="29"/>
    </row>
    <row r="178" spans="1:4" x14ac:dyDescent="0.3">
      <c r="A178" s="26"/>
      <c r="B178" s="27" t="s">
        <v>18</v>
      </c>
      <c r="C178" s="28"/>
      <c r="D178" s="29"/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566</v>
      </c>
      <c r="D181" s="50">
        <f>SUM(D170:D180)</f>
        <v>64.806999999999988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501.19299999999998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93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115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114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111</v>
      </c>
      <c r="C212" s="3"/>
      <c r="D212" s="12"/>
    </row>
    <row r="213" spans="1:4" x14ac:dyDescent="0.3">
      <c r="A213" s="11" t="s">
        <v>2</v>
      </c>
      <c r="B213" s="55">
        <v>2100689831</v>
      </c>
      <c r="C213" s="4"/>
      <c r="D213" s="13"/>
    </row>
    <row r="214" spans="1:4" x14ac:dyDescent="0.3">
      <c r="A214" s="11" t="s">
        <v>3</v>
      </c>
      <c r="B214" s="3" t="s">
        <v>66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566</v>
      </c>
      <c r="D220" s="29"/>
    </row>
    <row r="221" spans="1:4" x14ac:dyDescent="0.3">
      <c r="A221" s="26" t="s">
        <v>7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64.806999999999988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55</v>
      </c>
      <c r="C226" s="28"/>
      <c r="D226" s="29"/>
    </row>
    <row r="227" spans="1:4" x14ac:dyDescent="0.3">
      <c r="A227" s="26"/>
      <c r="B227" s="27" t="s">
        <v>72</v>
      </c>
      <c r="C227" s="28"/>
      <c r="D227" s="29"/>
    </row>
    <row r="228" spans="1:4" x14ac:dyDescent="0.3">
      <c r="A228" s="26"/>
      <c r="B228" s="27" t="s">
        <v>18</v>
      </c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566</v>
      </c>
      <c r="D231" s="50">
        <f>SUM(D220:D230)</f>
        <v>64.806999999999988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501.19299999999998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93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115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114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111</v>
      </c>
      <c r="C262" s="3"/>
      <c r="D262" s="12"/>
    </row>
    <row r="263" spans="1:4" x14ac:dyDescent="0.3">
      <c r="A263" s="11" t="s">
        <v>2</v>
      </c>
      <c r="B263" s="55">
        <v>2100689831</v>
      </c>
      <c r="C263" s="4"/>
      <c r="D263" s="13"/>
    </row>
    <row r="264" spans="1:4" x14ac:dyDescent="0.3">
      <c r="A264" s="11" t="s">
        <v>3</v>
      </c>
      <c r="B264" s="3" t="s">
        <v>66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566</v>
      </c>
      <c r="D270" s="29"/>
    </row>
    <row r="271" spans="1:4" x14ac:dyDescent="0.3">
      <c r="A271" s="26" t="s">
        <v>7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10</v>
      </c>
      <c r="C274" s="28"/>
      <c r="D274" s="29">
        <f>C270*11.45%</f>
        <v>64.806999999999988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55</v>
      </c>
      <c r="C276" s="28"/>
      <c r="D276" s="29">
        <v>283</v>
      </c>
    </row>
    <row r="277" spans="1:4" x14ac:dyDescent="0.3">
      <c r="A277" s="26"/>
      <c r="B277" s="27" t="s">
        <v>72</v>
      </c>
      <c r="C277" s="28"/>
      <c r="D277" s="29"/>
    </row>
    <row r="278" spans="1:4" x14ac:dyDescent="0.3">
      <c r="A278" s="26"/>
      <c r="B278" s="27" t="s">
        <v>18</v>
      </c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566</v>
      </c>
      <c r="D281" s="50">
        <f>SUM(D270:D280)</f>
        <v>347.80700000000002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218.19299999999998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93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115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114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111</v>
      </c>
      <c r="C312" s="3"/>
      <c r="D312" s="12"/>
    </row>
    <row r="313" spans="1:4" x14ac:dyDescent="0.3">
      <c r="A313" s="11" t="s">
        <v>2</v>
      </c>
      <c r="B313" s="55">
        <v>2100689831</v>
      </c>
      <c r="C313" s="4"/>
      <c r="D313" s="13"/>
    </row>
    <row r="314" spans="1:4" x14ac:dyDescent="0.3">
      <c r="A314" s="11" t="s">
        <v>3</v>
      </c>
      <c r="B314" s="3" t="s">
        <v>66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f>(566/30)*4</f>
        <v>75.466666666666669</v>
      </c>
      <c r="D320" s="29"/>
    </row>
    <row r="321" spans="1:4" x14ac:dyDescent="0.3">
      <c r="A321" s="26" t="s">
        <v>123</v>
      </c>
      <c r="B321" s="27"/>
      <c r="C321" s="28">
        <f>(566/30)*11</f>
        <v>207.53333333333333</v>
      </c>
      <c r="D321" s="29"/>
    </row>
    <row r="322" spans="1:4" x14ac:dyDescent="0.3">
      <c r="A322" s="26" t="s">
        <v>8</v>
      </c>
      <c r="B322" s="27"/>
      <c r="C322" s="28">
        <f>(566/12)*6</f>
        <v>283</v>
      </c>
      <c r="D322" s="29"/>
    </row>
    <row r="323" spans="1:4" x14ac:dyDescent="0.3">
      <c r="A323" s="26" t="s">
        <v>9</v>
      </c>
      <c r="B323" s="27"/>
      <c r="C323" s="28">
        <f>(425/12)*6</f>
        <v>212.5</v>
      </c>
      <c r="D323" s="29"/>
    </row>
    <row r="324" spans="1:4" x14ac:dyDescent="0.3">
      <c r="A324" s="26"/>
      <c r="B324" s="27" t="s">
        <v>10</v>
      </c>
      <c r="C324" s="28"/>
      <c r="D324" s="29">
        <f>C320*11.45%</f>
        <v>8.6409333333333329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55</v>
      </c>
      <c r="C326" s="28"/>
      <c r="D326" s="29">
        <v>283</v>
      </c>
    </row>
    <row r="327" spans="1:4" x14ac:dyDescent="0.3">
      <c r="A327" s="26"/>
      <c r="B327" s="27" t="s">
        <v>72</v>
      </c>
      <c r="C327" s="28"/>
      <c r="D327" s="29"/>
    </row>
    <row r="328" spans="1:4" x14ac:dyDescent="0.3">
      <c r="A328" s="26"/>
      <c r="B328" s="27" t="s">
        <v>18</v>
      </c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778.5</v>
      </c>
      <c r="D331" s="50">
        <f>SUM(D320:D330)</f>
        <v>291.64093333333335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486.85906666666665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93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115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114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0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125</v>
      </c>
      <c r="C362" s="3"/>
      <c r="D362" s="12"/>
    </row>
    <row r="363" spans="1:4" x14ac:dyDescent="0.3">
      <c r="A363" s="11" t="s">
        <v>2</v>
      </c>
      <c r="B363" s="55">
        <v>2200238240</v>
      </c>
      <c r="C363" s="4"/>
      <c r="D363" s="13"/>
    </row>
    <row r="364" spans="1:4" x14ac:dyDescent="0.3">
      <c r="A364" s="11" t="s">
        <v>3</v>
      </c>
      <c r="B364" s="3" t="s">
        <v>66</v>
      </c>
      <c r="C364" s="4"/>
      <c r="D364" s="14"/>
    </row>
    <row r="365" spans="1:4" x14ac:dyDescent="0.3">
      <c r="A365" s="11" t="s">
        <v>26</v>
      </c>
      <c r="B365" s="3" t="s">
        <v>122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>
        <f>(566/30)*27</f>
        <v>509.40000000000003</v>
      </c>
      <c r="D370" s="29"/>
    </row>
    <row r="371" spans="1:4" x14ac:dyDescent="0.3">
      <c r="A371" s="26" t="s">
        <v>7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/>
      <c r="D373" s="29"/>
    </row>
    <row r="374" spans="1:4" x14ac:dyDescent="0.3">
      <c r="A374" s="26"/>
      <c r="B374" s="27" t="s">
        <v>10</v>
      </c>
      <c r="C374" s="28"/>
      <c r="D374" s="29">
        <f>C370*11.45%</f>
        <v>58.326299999999996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72</v>
      </c>
      <c r="C377" s="28"/>
      <c r="D377" s="29"/>
    </row>
    <row r="378" spans="1:4" x14ac:dyDescent="0.3">
      <c r="A378" s="26"/>
      <c r="B378" s="27" t="s">
        <v>18</v>
      </c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509.40000000000003</v>
      </c>
      <c r="D381" s="50">
        <f>SUM(D370:D380)</f>
        <v>58.326299999999996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451.07370000000003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93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130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131</v>
      </c>
      <c r="D400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133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125</v>
      </c>
      <c r="C412" s="3"/>
      <c r="D412" s="12"/>
    </row>
    <row r="413" spans="1:4" x14ac:dyDescent="0.3">
      <c r="A413" s="11" t="s">
        <v>2</v>
      </c>
      <c r="B413" s="55">
        <v>2200238240</v>
      </c>
      <c r="C413" s="4"/>
      <c r="D413" s="13"/>
    </row>
    <row r="414" spans="1:4" x14ac:dyDescent="0.3">
      <c r="A414" s="11" t="s">
        <v>3</v>
      </c>
      <c r="B414" s="3" t="s">
        <v>66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/>
      <c r="D420" s="29"/>
    </row>
    <row r="421" spans="1:4" x14ac:dyDescent="0.3">
      <c r="A421" s="26" t="s">
        <v>7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>
        <f>(425/12)*1</f>
        <v>35.416666666666664</v>
      </c>
      <c r="D423" s="29"/>
    </row>
    <row r="424" spans="1:4" x14ac:dyDescent="0.3">
      <c r="A424" s="26"/>
      <c r="B424" s="27" t="s">
        <v>10</v>
      </c>
      <c r="C424" s="28"/>
      <c r="D424" s="29">
        <f>C420*11.45%</f>
        <v>0</v>
      </c>
    </row>
    <row r="425" spans="1:4" x14ac:dyDescent="0.3">
      <c r="A425" s="26"/>
      <c r="B425" s="27" t="s">
        <v>11</v>
      </c>
      <c r="C425" s="28"/>
      <c r="D425" s="29"/>
    </row>
    <row r="426" spans="1:4" x14ac:dyDescent="0.3">
      <c r="A426" s="26"/>
      <c r="B426" s="27" t="s">
        <v>55</v>
      </c>
      <c r="C426" s="28"/>
      <c r="D426" s="29"/>
    </row>
    <row r="427" spans="1:4" x14ac:dyDescent="0.3">
      <c r="A427" s="26"/>
      <c r="B427" s="27" t="s">
        <v>72</v>
      </c>
      <c r="C427" s="28"/>
      <c r="D427" s="29"/>
    </row>
    <row r="428" spans="1:4" x14ac:dyDescent="0.3">
      <c r="A428" s="26"/>
      <c r="B428" s="27" t="s">
        <v>18</v>
      </c>
      <c r="C428" s="28"/>
      <c r="D428" s="29"/>
    </row>
    <row r="429" spans="1:4" x14ac:dyDescent="0.3">
      <c r="A429" s="26"/>
      <c r="B429" s="27"/>
      <c r="C429" s="28"/>
      <c r="D429" s="29"/>
    </row>
    <row r="430" spans="1:4" x14ac:dyDescent="0.3">
      <c r="A430" s="21"/>
      <c r="B430" s="8"/>
      <c r="C430" s="1"/>
      <c r="D430" s="20"/>
    </row>
    <row r="431" spans="1:4" x14ac:dyDescent="0.3">
      <c r="A431" s="43"/>
      <c r="B431" s="44" t="s">
        <v>12</v>
      </c>
      <c r="C431" s="46">
        <f>SUM(C420:C430)</f>
        <v>35.416666666666664</v>
      </c>
      <c r="D431" s="50">
        <f>SUM(D420:D430)</f>
        <v>0</v>
      </c>
    </row>
    <row r="432" spans="1:4" x14ac:dyDescent="0.3">
      <c r="A432" s="21"/>
      <c r="B432" s="3"/>
      <c r="C432" s="3"/>
      <c r="D432" s="22"/>
    </row>
    <row r="433" spans="1:4" ht="28.2" x14ac:dyDescent="0.3">
      <c r="A433" s="21"/>
      <c r="B433" s="45"/>
      <c r="C433" s="47" t="s">
        <v>13</v>
      </c>
      <c r="D433" s="51">
        <f>+C431-D431</f>
        <v>35.416666666666664</v>
      </c>
    </row>
    <row r="434" spans="1:4" x14ac:dyDescent="0.3">
      <c r="A434" s="21"/>
      <c r="B434" s="3"/>
      <c r="C434" s="3"/>
      <c r="D434" s="22"/>
    </row>
    <row r="435" spans="1:4" x14ac:dyDescent="0.3">
      <c r="A435" s="23"/>
      <c r="B435" s="4" t="s">
        <v>14</v>
      </c>
      <c r="C435" s="2"/>
      <c r="D435" s="24"/>
    </row>
    <row r="436" spans="1:4" ht="15" thickBot="1" x14ac:dyDescent="0.35">
      <c r="A436" s="23"/>
      <c r="B436" s="9"/>
      <c r="C436" s="9"/>
      <c r="D436" s="24"/>
    </row>
    <row r="437" spans="1:4" x14ac:dyDescent="0.3">
      <c r="A437" s="300" t="s">
        <v>28</v>
      </c>
      <c r="B437" s="300" t="s">
        <v>93</v>
      </c>
      <c r="C437" s="302" t="s">
        <v>30</v>
      </c>
      <c r="D437" s="303"/>
    </row>
    <row r="438" spans="1:4" ht="15" thickBot="1" x14ac:dyDescent="0.35">
      <c r="A438" s="301"/>
      <c r="B438" s="301"/>
      <c r="C438" s="304"/>
      <c r="D438" s="30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8" t="s">
        <v>20</v>
      </c>
      <c r="B449" s="35" t="s">
        <v>21</v>
      </c>
      <c r="C449" s="290" t="s">
        <v>130</v>
      </c>
      <c r="D449" s="291"/>
    </row>
    <row r="450" spans="1:4" ht="15" thickBot="1" x14ac:dyDescent="0.35">
      <c r="A450" s="36" t="s">
        <v>22</v>
      </c>
      <c r="B450" s="33" t="s">
        <v>23</v>
      </c>
      <c r="C450" s="292" t="s">
        <v>131</v>
      </c>
      <c r="D450" s="293"/>
    </row>
    <row r="454" spans="1:4" ht="15" thickBot="1" x14ac:dyDescent="0.35"/>
    <row r="455" spans="1:4" ht="25.2" x14ac:dyDescent="0.3">
      <c r="A455" s="294"/>
      <c r="B455" s="295"/>
      <c r="C455" s="295"/>
      <c r="D455" s="296"/>
    </row>
    <row r="456" spans="1:4" x14ac:dyDescent="0.3">
      <c r="A456" s="31"/>
      <c r="B456" s="48"/>
      <c r="C456" s="2"/>
      <c r="D456" s="30"/>
    </row>
    <row r="457" spans="1:4" x14ac:dyDescent="0.3">
      <c r="A457" s="31"/>
      <c r="B457" s="49"/>
      <c r="C457" s="2"/>
      <c r="D457" s="30"/>
    </row>
    <row r="458" spans="1:4" x14ac:dyDescent="0.3">
      <c r="A458" s="31"/>
      <c r="B458" s="49"/>
      <c r="C458" s="2"/>
      <c r="D458" s="30"/>
    </row>
    <row r="459" spans="1:4" ht="15" thickBot="1" x14ac:dyDescent="0.35">
      <c r="A459" s="31"/>
      <c r="B459" s="2"/>
      <c r="C459" s="2"/>
      <c r="D459" s="30"/>
    </row>
    <row r="460" spans="1:4" ht="25.8" thickBot="1" x14ac:dyDescent="0.35">
      <c r="A460" s="297" t="s">
        <v>0</v>
      </c>
      <c r="B460" s="298"/>
      <c r="C460" s="298"/>
      <c r="D460" s="299"/>
    </row>
    <row r="461" spans="1:4" ht="25.2" x14ac:dyDescent="0.3">
      <c r="A461" s="52"/>
      <c r="B461" s="53"/>
      <c r="C461" s="53"/>
      <c r="D461" s="54"/>
    </row>
    <row r="462" spans="1:4" x14ac:dyDescent="0.3">
      <c r="A462" s="11" t="s">
        <v>1</v>
      </c>
      <c r="B462" s="3" t="s">
        <v>125</v>
      </c>
      <c r="C462" s="3"/>
      <c r="D462" s="12"/>
    </row>
    <row r="463" spans="1:4" x14ac:dyDescent="0.3">
      <c r="A463" s="11" t="s">
        <v>2</v>
      </c>
      <c r="B463" s="55">
        <v>2200238240</v>
      </c>
      <c r="C463" s="4"/>
      <c r="D463" s="13"/>
    </row>
    <row r="464" spans="1:4" x14ac:dyDescent="0.3">
      <c r="A464" s="11" t="s">
        <v>3</v>
      </c>
      <c r="B464" s="3" t="s">
        <v>66</v>
      </c>
      <c r="C464" s="4"/>
      <c r="D464" s="14"/>
    </row>
    <row r="465" spans="1:4" x14ac:dyDescent="0.3">
      <c r="A465" s="11" t="s">
        <v>26</v>
      </c>
      <c r="B465" s="3" t="s">
        <v>134</v>
      </c>
      <c r="C465" s="4"/>
      <c r="D465" s="15"/>
    </row>
    <row r="466" spans="1:4" x14ac:dyDescent="0.3">
      <c r="A466" s="11" t="s">
        <v>99</v>
      </c>
      <c r="B466" s="55">
        <v>2022</v>
      </c>
      <c r="C466" s="4"/>
      <c r="D466" s="15"/>
    </row>
    <row r="467" spans="1:4" x14ac:dyDescent="0.3">
      <c r="A467" s="16"/>
      <c r="B467" s="5"/>
      <c r="C467" s="5"/>
      <c r="D467" s="17"/>
    </row>
    <row r="468" spans="1:4" x14ac:dyDescent="0.3">
      <c r="A468" s="39" t="s">
        <v>94</v>
      </c>
      <c r="B468" s="40"/>
      <c r="C468" s="41" t="s">
        <v>5</v>
      </c>
      <c r="D468" s="42" t="s">
        <v>6</v>
      </c>
    </row>
    <row r="469" spans="1:4" x14ac:dyDescent="0.3">
      <c r="A469" s="18"/>
      <c r="B469" s="6"/>
      <c r="C469" s="7"/>
      <c r="D469" s="19"/>
    </row>
    <row r="470" spans="1:4" x14ac:dyDescent="0.3">
      <c r="A470" s="26" t="s">
        <v>16</v>
      </c>
      <c r="B470" s="27"/>
      <c r="C470" s="28">
        <f>(566/30)*30</f>
        <v>566</v>
      </c>
      <c r="D470" s="29"/>
    </row>
    <row r="471" spans="1:4" x14ac:dyDescent="0.3">
      <c r="A471" s="26" t="s">
        <v>7</v>
      </c>
      <c r="B471" s="27"/>
      <c r="C471" s="28"/>
      <c r="D471" s="29"/>
    </row>
    <row r="472" spans="1:4" x14ac:dyDescent="0.3">
      <c r="A472" s="26" t="s">
        <v>8</v>
      </c>
      <c r="B472" s="27"/>
      <c r="C472" s="28"/>
      <c r="D472" s="29"/>
    </row>
    <row r="473" spans="1:4" x14ac:dyDescent="0.3">
      <c r="A473" s="26" t="s">
        <v>9</v>
      </c>
      <c r="B473" s="27"/>
      <c r="C473" s="28"/>
      <c r="D473" s="29"/>
    </row>
    <row r="474" spans="1:4" x14ac:dyDescent="0.3">
      <c r="A474" s="26"/>
      <c r="B474" s="27" t="s">
        <v>10</v>
      </c>
      <c r="C474" s="28"/>
      <c r="D474" s="29">
        <f>C470*11.45%</f>
        <v>64.806999999999988</v>
      </c>
    </row>
    <row r="475" spans="1:4" x14ac:dyDescent="0.3">
      <c r="A475" s="26"/>
      <c r="B475" s="27" t="s">
        <v>11</v>
      </c>
      <c r="C475" s="28"/>
      <c r="D475" s="29"/>
    </row>
    <row r="476" spans="1:4" x14ac:dyDescent="0.3">
      <c r="A476" s="26"/>
      <c r="B476" s="27" t="s">
        <v>55</v>
      </c>
      <c r="C476" s="28"/>
      <c r="D476" s="29"/>
    </row>
    <row r="477" spans="1:4" x14ac:dyDescent="0.3">
      <c r="A477" s="26"/>
      <c r="B477" s="27" t="s">
        <v>72</v>
      </c>
      <c r="C477" s="28"/>
      <c r="D477" s="29"/>
    </row>
    <row r="478" spans="1:4" x14ac:dyDescent="0.3">
      <c r="A478" s="26"/>
      <c r="B478" s="27" t="s">
        <v>18</v>
      </c>
      <c r="C478" s="28"/>
      <c r="D478" s="29"/>
    </row>
    <row r="479" spans="1:4" x14ac:dyDescent="0.3">
      <c r="A479" s="26"/>
      <c r="B479" s="27"/>
      <c r="C479" s="28"/>
      <c r="D479" s="29"/>
    </row>
    <row r="480" spans="1:4" x14ac:dyDescent="0.3">
      <c r="A480" s="21"/>
      <c r="B480" s="8"/>
      <c r="C480" s="1"/>
      <c r="D480" s="20"/>
    </row>
    <row r="481" spans="1:4" x14ac:dyDescent="0.3">
      <c r="A481" s="43"/>
      <c r="B481" s="44" t="s">
        <v>12</v>
      </c>
      <c r="C481" s="46">
        <f>SUM(C470:C480)</f>
        <v>566</v>
      </c>
      <c r="D481" s="50">
        <f>SUM(D470:D480)</f>
        <v>64.806999999999988</v>
      </c>
    </row>
    <row r="482" spans="1:4" x14ac:dyDescent="0.3">
      <c r="A482" s="21"/>
      <c r="B482" s="3"/>
      <c r="C482" s="3"/>
      <c r="D482" s="22"/>
    </row>
    <row r="483" spans="1:4" ht="28.2" x14ac:dyDescent="0.3">
      <c r="A483" s="21"/>
      <c r="B483" s="45"/>
      <c r="C483" s="47" t="s">
        <v>13</v>
      </c>
      <c r="D483" s="51">
        <f>+C481-D481</f>
        <v>501.19299999999998</v>
      </c>
    </row>
    <row r="484" spans="1:4" x14ac:dyDescent="0.3">
      <c r="A484" s="21"/>
      <c r="B484" s="3"/>
      <c r="C484" s="3"/>
      <c r="D484" s="22"/>
    </row>
    <row r="485" spans="1:4" x14ac:dyDescent="0.3">
      <c r="A485" s="23"/>
      <c r="B485" s="4" t="s">
        <v>14</v>
      </c>
      <c r="C485" s="2"/>
      <c r="D485" s="24"/>
    </row>
    <row r="486" spans="1:4" ht="15" thickBot="1" x14ac:dyDescent="0.35">
      <c r="A486" s="23"/>
      <c r="B486" s="9"/>
      <c r="C486" s="9"/>
      <c r="D486" s="24"/>
    </row>
    <row r="487" spans="1:4" x14ac:dyDescent="0.3">
      <c r="A487" s="300" t="s">
        <v>28</v>
      </c>
      <c r="B487" s="300" t="s">
        <v>93</v>
      </c>
      <c r="C487" s="302" t="s">
        <v>30</v>
      </c>
      <c r="D487" s="303"/>
    </row>
    <row r="488" spans="1:4" ht="15" thickBot="1" x14ac:dyDescent="0.35">
      <c r="A488" s="301"/>
      <c r="B488" s="301"/>
      <c r="C488" s="304"/>
      <c r="D488" s="305"/>
    </row>
    <row r="489" spans="1:4" x14ac:dyDescent="0.3">
      <c r="A489" s="37"/>
      <c r="B489" s="34"/>
      <c r="C489" s="32"/>
      <c r="D489" s="25"/>
    </row>
    <row r="490" spans="1:4" x14ac:dyDescent="0.3">
      <c r="A490" s="37"/>
      <c r="B490" s="34"/>
      <c r="C490" s="32"/>
      <c r="D490" s="25"/>
    </row>
    <row r="491" spans="1:4" x14ac:dyDescent="0.3">
      <c r="A491" s="37"/>
      <c r="B491" s="34"/>
      <c r="C491" s="32"/>
      <c r="D491" s="25"/>
    </row>
    <row r="492" spans="1:4" x14ac:dyDescent="0.3">
      <c r="A492" s="37"/>
      <c r="B492" s="34"/>
      <c r="C492" s="32"/>
      <c r="D492" s="25"/>
    </row>
    <row r="493" spans="1:4" x14ac:dyDescent="0.3">
      <c r="A493" s="37"/>
      <c r="B493" s="34"/>
      <c r="C493" s="32"/>
      <c r="D493" s="25"/>
    </row>
    <row r="494" spans="1:4" x14ac:dyDescent="0.3">
      <c r="A494" s="37"/>
      <c r="B494" s="34"/>
      <c r="C494" s="32"/>
      <c r="D494" s="25"/>
    </row>
    <row r="495" spans="1:4" x14ac:dyDescent="0.3">
      <c r="A495" s="37"/>
      <c r="B495" s="34"/>
      <c r="C495" s="32"/>
      <c r="D495" s="25"/>
    </row>
    <row r="496" spans="1:4" x14ac:dyDescent="0.3">
      <c r="A496" s="37"/>
      <c r="B496" s="34"/>
      <c r="C496" s="32"/>
      <c r="D496" s="25"/>
    </row>
    <row r="497" spans="1:4" x14ac:dyDescent="0.3">
      <c r="A497" s="37"/>
      <c r="B497" s="34"/>
      <c r="C497" s="32"/>
      <c r="D497" s="25"/>
    </row>
    <row r="498" spans="1:4" x14ac:dyDescent="0.3">
      <c r="A498" s="37"/>
      <c r="B498" s="34"/>
      <c r="C498" s="32"/>
      <c r="D498" s="25"/>
    </row>
    <row r="499" spans="1:4" x14ac:dyDescent="0.3">
      <c r="A499" s="38" t="s">
        <v>20</v>
      </c>
      <c r="B499" s="35" t="s">
        <v>21</v>
      </c>
      <c r="C499" s="290" t="s">
        <v>130</v>
      </c>
      <c r="D499" s="291"/>
    </row>
    <row r="500" spans="1:4" ht="15" thickBot="1" x14ac:dyDescent="0.35">
      <c r="A500" s="36" t="s">
        <v>22</v>
      </c>
      <c r="B500" s="33" t="s">
        <v>23</v>
      </c>
      <c r="C500" s="292" t="s">
        <v>131</v>
      </c>
      <c r="D500" s="293"/>
    </row>
  </sheetData>
  <mergeCells count="70">
    <mergeCell ref="C499:D499"/>
    <mergeCell ref="C500:D500"/>
    <mergeCell ref="A455:D455"/>
    <mergeCell ref="A460:D460"/>
    <mergeCell ref="A487:A488"/>
    <mergeCell ref="B487:B488"/>
    <mergeCell ref="C487:D488"/>
    <mergeCell ref="C399:D399"/>
    <mergeCell ref="C400:D400"/>
    <mergeCell ref="A355:D355"/>
    <mergeCell ref="A360:D360"/>
    <mergeCell ref="A387:A388"/>
    <mergeCell ref="B387:B388"/>
    <mergeCell ref="C387:D38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9:D99"/>
    <mergeCell ref="C100:D100"/>
    <mergeCell ref="A55:D55"/>
    <mergeCell ref="A60:D60"/>
    <mergeCell ref="A87:A88"/>
    <mergeCell ref="B87:B88"/>
    <mergeCell ref="C87:D88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49:D349"/>
    <mergeCell ref="C350:D350"/>
    <mergeCell ref="A305:D305"/>
    <mergeCell ref="A310:D310"/>
    <mergeCell ref="A337:A338"/>
    <mergeCell ref="B337:B338"/>
    <mergeCell ref="C337:D338"/>
    <mergeCell ref="C449:D449"/>
    <mergeCell ref="C450:D450"/>
    <mergeCell ref="A405:D405"/>
    <mergeCell ref="A410:D410"/>
    <mergeCell ref="A437:A438"/>
    <mergeCell ref="B437:B438"/>
    <mergeCell ref="C437:D438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G455"/>
  <sheetViews>
    <sheetView topLeftCell="A16" zoomScale="90" zoomScaleNormal="90" workbookViewId="0">
      <selection activeCell="A16" sqref="A1:XFD1048576"/>
    </sheetView>
  </sheetViews>
  <sheetFormatPr baseColWidth="10" defaultRowHeight="14.4" x14ac:dyDescent="0.3"/>
  <cols>
    <col min="1" max="1" width="37.6640625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73</v>
      </c>
      <c r="C9" s="3"/>
      <c r="D9" s="12"/>
    </row>
    <row r="10" spans="1:4" x14ac:dyDescent="0.3">
      <c r="A10" s="11" t="s">
        <v>2</v>
      </c>
      <c r="B10" s="10" t="s">
        <v>77</v>
      </c>
      <c r="C10" s="4"/>
      <c r="D10" s="13"/>
    </row>
    <row r="11" spans="1:4" x14ac:dyDescent="0.3">
      <c r="A11" s="11" t="s">
        <v>3</v>
      </c>
      <c r="B11" s="3" t="s">
        <v>74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7" x14ac:dyDescent="0.3">
      <c r="A17" s="26" t="s">
        <v>16</v>
      </c>
      <c r="B17" s="27"/>
      <c r="C17" s="28">
        <v>708</v>
      </c>
      <c r="D17" s="29"/>
      <c r="E17" s="60">
        <v>0.20599999999999999</v>
      </c>
      <c r="F17" s="60">
        <v>9.4500000000000001E-2</v>
      </c>
      <c r="G17" s="60">
        <f>E17-F17</f>
        <v>0.11149999999999999</v>
      </c>
    </row>
    <row r="18" spans="1:7" x14ac:dyDescent="0.3">
      <c r="A18" s="26" t="s">
        <v>104</v>
      </c>
      <c r="B18" s="27"/>
      <c r="C18" s="28"/>
      <c r="D18" s="29"/>
      <c r="E18" s="61">
        <f>C17</f>
        <v>708</v>
      </c>
      <c r="F18" s="57">
        <f>E18*F17</f>
        <v>66.906000000000006</v>
      </c>
      <c r="G18" s="57">
        <f>E18*G17</f>
        <v>78.941999999999993</v>
      </c>
    </row>
    <row r="19" spans="1:7" x14ac:dyDescent="0.3">
      <c r="A19" s="26" t="s">
        <v>8</v>
      </c>
      <c r="B19" s="27"/>
      <c r="C19" s="28"/>
      <c r="D19" s="29"/>
    </row>
    <row r="20" spans="1:7" x14ac:dyDescent="0.3">
      <c r="A20" s="26" t="s">
        <v>9</v>
      </c>
      <c r="B20" s="27"/>
      <c r="C20" s="28"/>
      <c r="D20" s="29"/>
    </row>
    <row r="21" spans="1:7" x14ac:dyDescent="0.3">
      <c r="A21" s="26"/>
      <c r="B21" s="27" t="s">
        <v>10</v>
      </c>
      <c r="C21" s="28"/>
      <c r="D21" s="29">
        <f>C17*9.45%</f>
        <v>66.905999999999992</v>
      </c>
    </row>
    <row r="22" spans="1:7" x14ac:dyDescent="0.3">
      <c r="A22" s="26"/>
      <c r="B22" s="27" t="s">
        <v>11</v>
      </c>
      <c r="C22" s="28"/>
      <c r="D22" s="29"/>
    </row>
    <row r="23" spans="1:7" x14ac:dyDescent="0.3">
      <c r="A23" s="26"/>
      <c r="B23" s="27" t="s">
        <v>55</v>
      </c>
      <c r="C23" s="28"/>
      <c r="D23" s="29"/>
    </row>
    <row r="24" spans="1:7" x14ac:dyDescent="0.3">
      <c r="A24" s="26"/>
      <c r="B24" s="27" t="s">
        <v>101</v>
      </c>
      <c r="C24" s="28"/>
      <c r="D24" s="29"/>
    </row>
    <row r="25" spans="1:7" x14ac:dyDescent="0.3">
      <c r="A25" s="26"/>
      <c r="B25" s="27" t="s">
        <v>18</v>
      </c>
      <c r="C25" s="28"/>
      <c r="D25" s="29"/>
      <c r="E25" s="57"/>
    </row>
    <row r="26" spans="1:7" x14ac:dyDescent="0.3">
      <c r="A26" s="26"/>
      <c r="B26" s="27"/>
      <c r="C26" s="28"/>
      <c r="D26" s="29"/>
    </row>
    <row r="27" spans="1:7" x14ac:dyDescent="0.3">
      <c r="A27" s="21"/>
      <c r="B27" s="8"/>
      <c r="C27" s="1"/>
      <c r="D27" s="20"/>
    </row>
    <row r="28" spans="1:7" x14ac:dyDescent="0.3">
      <c r="A28" s="43"/>
      <c r="B28" s="44" t="s">
        <v>12</v>
      </c>
      <c r="C28" s="46">
        <f>SUM(C17:C27)</f>
        <v>708</v>
      </c>
      <c r="D28" s="50">
        <f>SUM(D17:D27)</f>
        <v>66.905999999999992</v>
      </c>
    </row>
    <row r="29" spans="1:7" x14ac:dyDescent="0.3">
      <c r="A29" s="21"/>
      <c r="B29" s="3"/>
      <c r="C29" s="3"/>
      <c r="D29" s="22"/>
    </row>
    <row r="30" spans="1:7" ht="28.2" x14ac:dyDescent="0.3">
      <c r="A30" s="21"/>
      <c r="B30" s="45"/>
      <c r="C30" s="47" t="s">
        <v>13</v>
      </c>
      <c r="D30" s="51">
        <f>+C28-D28</f>
        <v>641.09400000000005</v>
      </c>
    </row>
    <row r="31" spans="1:7" x14ac:dyDescent="0.3">
      <c r="A31" s="21"/>
      <c r="B31" s="3"/>
      <c r="C31" s="3"/>
      <c r="D31" s="22"/>
    </row>
    <row r="32" spans="1:7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75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76</v>
      </c>
      <c r="D47" s="293"/>
    </row>
    <row r="54" spans="1:4" ht="15" thickBot="1" x14ac:dyDescent="0.35"/>
    <row r="55" spans="1:4" ht="25.2" x14ac:dyDescent="0.3">
      <c r="A55" s="294"/>
      <c r="B55" s="295"/>
      <c r="C55" s="295"/>
      <c r="D55" s="296"/>
    </row>
    <row r="56" spans="1:4" x14ac:dyDescent="0.3">
      <c r="A56" s="31"/>
      <c r="B56" s="48"/>
      <c r="C56" s="2"/>
      <c r="D56" s="30"/>
    </row>
    <row r="57" spans="1:4" x14ac:dyDescent="0.3">
      <c r="A57" s="31"/>
      <c r="B57" s="49"/>
      <c r="C57" s="2"/>
      <c r="D57" s="30"/>
    </row>
    <row r="58" spans="1:4" x14ac:dyDescent="0.3">
      <c r="A58" s="31"/>
      <c r="B58" s="49"/>
      <c r="C58" s="2"/>
      <c r="D58" s="30"/>
    </row>
    <row r="59" spans="1:4" ht="15" thickBot="1" x14ac:dyDescent="0.35">
      <c r="A59" s="31"/>
      <c r="B59" s="2"/>
      <c r="C59" s="2"/>
      <c r="D59" s="30"/>
    </row>
    <row r="60" spans="1:4" ht="25.8" thickBot="1" x14ac:dyDescent="0.35">
      <c r="A60" s="297" t="s">
        <v>0</v>
      </c>
      <c r="B60" s="298"/>
      <c r="C60" s="298"/>
      <c r="D60" s="299"/>
    </row>
    <row r="61" spans="1:4" ht="25.2" x14ac:dyDescent="0.3">
      <c r="A61" s="52"/>
      <c r="B61" s="53"/>
      <c r="C61" s="53"/>
      <c r="D61" s="54"/>
    </row>
    <row r="62" spans="1:4" x14ac:dyDescent="0.3">
      <c r="A62" s="11" t="s">
        <v>1</v>
      </c>
      <c r="B62" s="3" t="s">
        <v>73</v>
      </c>
      <c r="C62" s="3"/>
      <c r="D62" s="12"/>
    </row>
    <row r="63" spans="1:4" x14ac:dyDescent="0.3">
      <c r="A63" s="11" t="s">
        <v>2</v>
      </c>
      <c r="B63" s="10" t="s">
        <v>77</v>
      </c>
      <c r="C63" s="4"/>
      <c r="D63" s="13"/>
    </row>
    <row r="64" spans="1:4" x14ac:dyDescent="0.3">
      <c r="A64" s="11" t="s">
        <v>3</v>
      </c>
      <c r="B64" s="3" t="s">
        <v>74</v>
      </c>
      <c r="C64" s="4"/>
      <c r="D64" s="14"/>
    </row>
    <row r="65" spans="1:4" x14ac:dyDescent="0.3">
      <c r="A65" s="11" t="s">
        <v>26</v>
      </c>
      <c r="B65" s="3" t="s">
        <v>112</v>
      </c>
      <c r="C65" s="4"/>
      <c r="D65" s="15"/>
    </row>
    <row r="66" spans="1:4" x14ac:dyDescent="0.3">
      <c r="A66" s="11" t="s">
        <v>99</v>
      </c>
      <c r="B66" s="55">
        <v>2022</v>
      </c>
      <c r="C66" s="4"/>
      <c r="D66" s="15"/>
    </row>
    <row r="67" spans="1:4" x14ac:dyDescent="0.3">
      <c r="A67" s="16"/>
      <c r="B67" s="5"/>
      <c r="C67" s="5"/>
      <c r="D67" s="17"/>
    </row>
    <row r="68" spans="1:4" x14ac:dyDescent="0.3">
      <c r="A68" s="39" t="s">
        <v>94</v>
      </c>
      <c r="B68" s="40"/>
      <c r="C68" s="41" t="s">
        <v>5</v>
      </c>
      <c r="D68" s="42" t="s">
        <v>6</v>
      </c>
    </row>
    <row r="69" spans="1:4" x14ac:dyDescent="0.3">
      <c r="A69" s="18"/>
      <c r="B69" s="6"/>
      <c r="C69" s="7"/>
      <c r="D69" s="19"/>
    </row>
    <row r="70" spans="1:4" x14ac:dyDescent="0.3">
      <c r="A70" s="26" t="s">
        <v>16</v>
      </c>
      <c r="B70" s="27"/>
      <c r="C70" s="28">
        <v>708</v>
      </c>
      <c r="D70" s="29"/>
    </row>
    <row r="71" spans="1:4" x14ac:dyDescent="0.3">
      <c r="A71" s="26" t="s">
        <v>104</v>
      </c>
      <c r="B71" s="27"/>
      <c r="C71" s="28"/>
      <c r="D71" s="29"/>
    </row>
    <row r="72" spans="1:4" x14ac:dyDescent="0.3">
      <c r="A72" s="26" t="s">
        <v>8</v>
      </c>
      <c r="B72" s="27"/>
      <c r="C72" s="28"/>
      <c r="D72" s="29"/>
    </row>
    <row r="73" spans="1:4" x14ac:dyDescent="0.3">
      <c r="A73" s="26" t="s">
        <v>9</v>
      </c>
      <c r="B73" s="27"/>
      <c r="C73" s="28"/>
      <c r="D73" s="29"/>
    </row>
    <row r="74" spans="1:4" x14ac:dyDescent="0.3">
      <c r="A74" s="26"/>
      <c r="B74" s="27" t="s">
        <v>10</v>
      </c>
      <c r="C74" s="28"/>
      <c r="D74" s="29">
        <f>C70*9.45%</f>
        <v>66.905999999999992</v>
      </c>
    </row>
    <row r="75" spans="1:4" x14ac:dyDescent="0.3">
      <c r="A75" s="26"/>
      <c r="B75" s="27" t="s">
        <v>11</v>
      </c>
      <c r="C75" s="28"/>
      <c r="D75" s="29"/>
    </row>
    <row r="76" spans="1:4" x14ac:dyDescent="0.3">
      <c r="A76" s="26"/>
      <c r="B76" s="27" t="s">
        <v>55</v>
      </c>
      <c r="C76" s="28"/>
      <c r="D76" s="29"/>
    </row>
    <row r="77" spans="1:4" x14ac:dyDescent="0.3">
      <c r="A77" s="26"/>
      <c r="B77" s="27" t="s">
        <v>101</v>
      </c>
      <c r="C77" s="28"/>
      <c r="D77" s="29"/>
    </row>
    <row r="78" spans="1:4" x14ac:dyDescent="0.3">
      <c r="A78" s="26"/>
      <c r="B78" s="27" t="s">
        <v>18</v>
      </c>
      <c r="C78" s="28"/>
      <c r="D78" s="29"/>
    </row>
    <row r="79" spans="1:4" x14ac:dyDescent="0.3">
      <c r="A79" s="26"/>
      <c r="B79" s="27"/>
      <c r="C79" s="28"/>
      <c r="D79" s="29"/>
    </row>
    <row r="80" spans="1:4" x14ac:dyDescent="0.3">
      <c r="A80" s="21"/>
      <c r="B80" s="8"/>
      <c r="C80" s="1"/>
      <c r="D80" s="20"/>
    </row>
    <row r="81" spans="1:4" x14ac:dyDescent="0.3">
      <c r="A81" s="43"/>
      <c r="B81" s="44" t="s">
        <v>12</v>
      </c>
      <c r="C81" s="46">
        <f>SUM(C70:C80)</f>
        <v>708</v>
      </c>
      <c r="D81" s="50">
        <f>SUM(D70:D80)</f>
        <v>66.905999999999992</v>
      </c>
    </row>
    <row r="82" spans="1:4" x14ac:dyDescent="0.3">
      <c r="A82" s="21"/>
      <c r="B82" s="3"/>
      <c r="C82" s="3"/>
      <c r="D82" s="22"/>
    </row>
    <row r="83" spans="1:4" ht="28.2" x14ac:dyDescent="0.3">
      <c r="A83" s="21"/>
      <c r="B83" s="45"/>
      <c r="C83" s="47" t="s">
        <v>13</v>
      </c>
      <c r="D83" s="51">
        <f>+C81-D81</f>
        <v>641.09400000000005</v>
      </c>
    </row>
    <row r="84" spans="1:4" x14ac:dyDescent="0.3">
      <c r="A84" s="21"/>
      <c r="B84" s="3"/>
      <c r="C84" s="3"/>
      <c r="D84" s="22"/>
    </row>
    <row r="85" spans="1:4" x14ac:dyDescent="0.3">
      <c r="A85" s="23"/>
      <c r="B85" s="4" t="s">
        <v>14</v>
      </c>
      <c r="C85" s="2"/>
      <c r="D85" s="24"/>
    </row>
    <row r="86" spans="1:4" ht="15" thickBot="1" x14ac:dyDescent="0.35">
      <c r="A86" s="23"/>
      <c r="B86" s="9"/>
      <c r="C86" s="9"/>
      <c r="D86" s="24"/>
    </row>
    <row r="87" spans="1:4" x14ac:dyDescent="0.3">
      <c r="A87" s="300" t="s">
        <v>28</v>
      </c>
      <c r="B87" s="300" t="s">
        <v>93</v>
      </c>
      <c r="C87" s="302" t="s">
        <v>30</v>
      </c>
      <c r="D87" s="303"/>
    </row>
    <row r="88" spans="1:4" ht="15" thickBot="1" x14ac:dyDescent="0.35">
      <c r="A88" s="301"/>
      <c r="B88" s="301"/>
      <c r="C88" s="304"/>
      <c r="D88" s="30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7"/>
      <c r="B98" s="34"/>
      <c r="C98" s="32"/>
      <c r="D98" s="25"/>
    </row>
    <row r="99" spans="1:4" x14ac:dyDescent="0.3">
      <c r="A99" s="38" t="s">
        <v>20</v>
      </c>
      <c r="B99" s="35" t="s">
        <v>21</v>
      </c>
      <c r="C99" s="290" t="s">
        <v>75</v>
      </c>
      <c r="D99" s="291"/>
    </row>
    <row r="100" spans="1:4" ht="15" thickBot="1" x14ac:dyDescent="0.35">
      <c r="A100" s="36" t="s">
        <v>22</v>
      </c>
      <c r="B100" s="33" t="s">
        <v>23</v>
      </c>
      <c r="C100" s="292" t="s">
        <v>76</v>
      </c>
      <c r="D100" s="293"/>
    </row>
    <row r="109" spans="1:4" ht="15" thickBot="1" x14ac:dyDescent="0.35"/>
    <row r="110" spans="1:4" ht="25.2" x14ac:dyDescent="0.3">
      <c r="A110" s="294"/>
      <c r="B110" s="295"/>
      <c r="C110" s="295"/>
      <c r="D110" s="296"/>
    </row>
    <row r="111" spans="1:4" x14ac:dyDescent="0.3">
      <c r="A111" s="31"/>
      <c r="B111" s="48"/>
      <c r="C111" s="2"/>
      <c r="D111" s="30"/>
    </row>
    <row r="112" spans="1:4" x14ac:dyDescent="0.3">
      <c r="A112" s="31"/>
      <c r="B112" s="49"/>
      <c r="C112" s="2"/>
      <c r="D112" s="30"/>
    </row>
    <row r="113" spans="1:4" x14ac:dyDescent="0.3">
      <c r="A113" s="31"/>
      <c r="B113" s="49"/>
      <c r="C113" s="2"/>
      <c r="D113" s="30"/>
    </row>
    <row r="114" spans="1:4" ht="15" thickBot="1" x14ac:dyDescent="0.35">
      <c r="A114" s="31"/>
      <c r="B114" s="2"/>
      <c r="C114" s="2"/>
      <c r="D114" s="30"/>
    </row>
    <row r="115" spans="1:4" ht="25.8" thickBot="1" x14ac:dyDescent="0.35">
      <c r="A115" s="297" t="s">
        <v>0</v>
      </c>
      <c r="B115" s="298"/>
      <c r="C115" s="298"/>
      <c r="D115" s="299"/>
    </row>
    <row r="116" spans="1:4" ht="25.2" x14ac:dyDescent="0.3">
      <c r="A116" s="52"/>
      <c r="B116" s="53"/>
      <c r="C116" s="53"/>
      <c r="D116" s="54"/>
    </row>
    <row r="117" spans="1:4" x14ac:dyDescent="0.3">
      <c r="A117" s="11" t="s">
        <v>1</v>
      </c>
      <c r="B117" s="3" t="s">
        <v>73</v>
      </c>
      <c r="C117" s="3"/>
      <c r="D117" s="12"/>
    </row>
    <row r="118" spans="1:4" x14ac:dyDescent="0.3">
      <c r="A118" s="11" t="s">
        <v>2</v>
      </c>
      <c r="B118" s="10" t="s">
        <v>77</v>
      </c>
      <c r="C118" s="4"/>
      <c r="D118" s="13"/>
    </row>
    <row r="119" spans="1:4" x14ac:dyDescent="0.3">
      <c r="A119" s="11" t="s">
        <v>3</v>
      </c>
      <c r="B119" s="3" t="s">
        <v>74</v>
      </c>
      <c r="C119" s="4"/>
      <c r="D119" s="14"/>
    </row>
    <row r="120" spans="1:4" x14ac:dyDescent="0.3">
      <c r="A120" s="11" t="s">
        <v>26</v>
      </c>
      <c r="B120" s="3" t="s">
        <v>113</v>
      </c>
      <c r="C120" s="4"/>
      <c r="D120" s="15"/>
    </row>
    <row r="121" spans="1:4" x14ac:dyDescent="0.3">
      <c r="A121" s="11" t="s">
        <v>99</v>
      </c>
      <c r="B121" s="55">
        <v>2022</v>
      </c>
      <c r="C121" s="4"/>
      <c r="D121" s="15"/>
    </row>
    <row r="122" spans="1:4" x14ac:dyDescent="0.3">
      <c r="A122" s="16"/>
      <c r="B122" s="5"/>
      <c r="C122" s="5"/>
      <c r="D122" s="17"/>
    </row>
    <row r="123" spans="1:4" x14ac:dyDescent="0.3">
      <c r="A123" s="39" t="s">
        <v>94</v>
      </c>
      <c r="B123" s="40"/>
      <c r="C123" s="41" t="s">
        <v>5</v>
      </c>
      <c r="D123" s="42" t="s">
        <v>6</v>
      </c>
    </row>
    <row r="124" spans="1:4" x14ac:dyDescent="0.3">
      <c r="A124" s="18"/>
      <c r="B124" s="6"/>
      <c r="C124" s="7"/>
      <c r="D124" s="19"/>
    </row>
    <row r="125" spans="1:4" x14ac:dyDescent="0.3">
      <c r="A125" s="26" t="s">
        <v>16</v>
      </c>
      <c r="B125" s="27"/>
      <c r="C125" s="28">
        <v>708</v>
      </c>
      <c r="D125" s="29"/>
    </row>
    <row r="126" spans="1:4" x14ac:dyDescent="0.3">
      <c r="A126" s="26" t="s">
        <v>104</v>
      </c>
      <c r="B126" s="27"/>
      <c r="C126" s="28"/>
      <c r="D126" s="29"/>
    </row>
    <row r="127" spans="1:4" x14ac:dyDescent="0.3">
      <c r="A127" s="26" t="s">
        <v>8</v>
      </c>
      <c r="B127" s="27"/>
      <c r="C127" s="28"/>
      <c r="D127" s="29"/>
    </row>
    <row r="128" spans="1:4" x14ac:dyDescent="0.3">
      <c r="A128" s="26" t="s">
        <v>9</v>
      </c>
      <c r="B128" s="27"/>
      <c r="C128" s="28"/>
      <c r="D128" s="29"/>
    </row>
    <row r="129" spans="1:4" x14ac:dyDescent="0.3">
      <c r="A129" s="26"/>
      <c r="B129" s="27" t="s">
        <v>19</v>
      </c>
      <c r="C129" s="28"/>
      <c r="D129" s="29">
        <f>C125*9.45%</f>
        <v>66.905999999999992</v>
      </c>
    </row>
    <row r="130" spans="1:4" x14ac:dyDescent="0.3">
      <c r="A130" s="26"/>
      <c r="B130" s="27" t="s">
        <v>11</v>
      </c>
      <c r="C130" s="28"/>
      <c r="D130" s="29"/>
    </row>
    <row r="131" spans="1:4" x14ac:dyDescent="0.3">
      <c r="A131" s="26"/>
      <c r="B131" s="27" t="s">
        <v>55</v>
      </c>
      <c r="C131" s="28"/>
      <c r="D131" s="29"/>
    </row>
    <row r="132" spans="1:4" x14ac:dyDescent="0.3">
      <c r="A132" s="26"/>
      <c r="B132" s="27" t="s">
        <v>101</v>
      </c>
      <c r="C132" s="28"/>
      <c r="D132" s="29"/>
    </row>
    <row r="133" spans="1:4" x14ac:dyDescent="0.3">
      <c r="A133" s="26"/>
      <c r="B133" s="27" t="s">
        <v>18</v>
      </c>
      <c r="C133" s="28"/>
      <c r="D133" s="29"/>
    </row>
    <row r="134" spans="1:4" x14ac:dyDescent="0.3">
      <c r="A134" s="26"/>
      <c r="B134" s="27"/>
      <c r="C134" s="28"/>
      <c r="D134" s="29"/>
    </row>
    <row r="135" spans="1:4" x14ac:dyDescent="0.3">
      <c r="A135" s="21"/>
      <c r="B135" s="8"/>
      <c r="C135" s="1"/>
      <c r="D135" s="20"/>
    </row>
    <row r="136" spans="1:4" x14ac:dyDescent="0.3">
      <c r="A136" s="43"/>
      <c r="B136" s="44" t="s">
        <v>12</v>
      </c>
      <c r="C136" s="46">
        <f>SUM(C125:C135)</f>
        <v>708</v>
      </c>
      <c r="D136" s="50">
        <f>SUM(D125:D135)</f>
        <v>66.905999999999992</v>
      </c>
    </row>
    <row r="137" spans="1:4" x14ac:dyDescent="0.3">
      <c r="A137" s="21"/>
      <c r="B137" s="3"/>
      <c r="C137" s="3"/>
      <c r="D137" s="22"/>
    </row>
    <row r="138" spans="1:4" ht="28.2" x14ac:dyDescent="0.3">
      <c r="A138" s="21"/>
      <c r="B138" s="45"/>
      <c r="C138" s="47" t="s">
        <v>13</v>
      </c>
      <c r="D138" s="51">
        <f>+C136-D136</f>
        <v>641.09400000000005</v>
      </c>
    </row>
    <row r="139" spans="1:4" x14ac:dyDescent="0.3">
      <c r="A139" s="21"/>
      <c r="B139" s="3"/>
      <c r="C139" s="3"/>
      <c r="D139" s="22"/>
    </row>
    <row r="140" spans="1:4" x14ac:dyDescent="0.3">
      <c r="A140" s="23"/>
      <c r="B140" s="4" t="s">
        <v>14</v>
      </c>
      <c r="C140" s="2"/>
      <c r="D140" s="24"/>
    </row>
    <row r="141" spans="1:4" ht="15" thickBot="1" x14ac:dyDescent="0.35">
      <c r="A141" s="23"/>
      <c r="B141" s="9"/>
      <c r="C141" s="9"/>
      <c r="D141" s="24"/>
    </row>
    <row r="142" spans="1:4" x14ac:dyDescent="0.3">
      <c r="A142" s="300" t="s">
        <v>28</v>
      </c>
      <c r="B142" s="300" t="s">
        <v>93</v>
      </c>
      <c r="C142" s="302" t="s">
        <v>30</v>
      </c>
      <c r="D142" s="303"/>
    </row>
    <row r="143" spans="1:4" ht="15" thickBot="1" x14ac:dyDescent="0.35">
      <c r="A143" s="301"/>
      <c r="B143" s="301"/>
      <c r="C143" s="304"/>
      <c r="D143" s="30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7"/>
      <c r="B149" s="34"/>
      <c r="C149" s="32"/>
      <c r="D149" s="25"/>
    </row>
    <row r="150" spans="1:4" x14ac:dyDescent="0.3">
      <c r="A150" s="37"/>
      <c r="B150" s="34"/>
      <c r="C150" s="32"/>
      <c r="D150" s="25"/>
    </row>
    <row r="151" spans="1:4" x14ac:dyDescent="0.3">
      <c r="A151" s="37"/>
      <c r="B151" s="34"/>
      <c r="C151" s="32"/>
      <c r="D151" s="25"/>
    </row>
    <row r="152" spans="1:4" x14ac:dyDescent="0.3">
      <c r="A152" s="37"/>
      <c r="B152" s="34"/>
      <c r="C152" s="32"/>
      <c r="D152" s="25"/>
    </row>
    <row r="153" spans="1:4" x14ac:dyDescent="0.3">
      <c r="A153" s="37"/>
      <c r="B153" s="34"/>
      <c r="C153" s="32"/>
      <c r="D153" s="25"/>
    </row>
    <row r="154" spans="1:4" x14ac:dyDescent="0.3">
      <c r="A154" s="38" t="s">
        <v>20</v>
      </c>
      <c r="B154" s="35" t="s">
        <v>21</v>
      </c>
      <c r="C154" s="290" t="s">
        <v>75</v>
      </c>
      <c r="D154" s="291"/>
    </row>
    <row r="155" spans="1:4" ht="15" thickBot="1" x14ac:dyDescent="0.35">
      <c r="A155" s="36" t="s">
        <v>22</v>
      </c>
      <c r="B155" s="33" t="s">
        <v>23</v>
      </c>
      <c r="C155" s="292" t="s">
        <v>76</v>
      </c>
      <c r="D155" s="293"/>
    </row>
    <row r="159" spans="1:4" ht="15" thickBot="1" x14ac:dyDescent="0.35"/>
    <row r="160" spans="1:4" ht="25.2" x14ac:dyDescent="0.3">
      <c r="A160" s="294"/>
      <c r="B160" s="295"/>
      <c r="C160" s="295"/>
      <c r="D160" s="296"/>
    </row>
    <row r="161" spans="1:4" x14ac:dyDescent="0.3">
      <c r="A161" s="31"/>
      <c r="B161" s="48"/>
      <c r="C161" s="2"/>
      <c r="D161" s="30"/>
    </row>
    <row r="162" spans="1:4" x14ac:dyDescent="0.3">
      <c r="A162" s="31"/>
      <c r="B162" s="49"/>
      <c r="C162" s="2"/>
      <c r="D162" s="30"/>
    </row>
    <row r="163" spans="1:4" x14ac:dyDescent="0.3">
      <c r="A163" s="31"/>
      <c r="B163" s="49"/>
      <c r="C163" s="2"/>
      <c r="D163" s="30"/>
    </row>
    <row r="164" spans="1:4" ht="15" thickBot="1" x14ac:dyDescent="0.35">
      <c r="A164" s="31"/>
      <c r="B164" s="2"/>
      <c r="C164" s="2"/>
      <c r="D164" s="30"/>
    </row>
    <row r="165" spans="1:4" ht="25.8" thickBot="1" x14ac:dyDescent="0.35">
      <c r="A165" s="297" t="s">
        <v>0</v>
      </c>
      <c r="B165" s="298"/>
      <c r="C165" s="298"/>
      <c r="D165" s="299"/>
    </row>
    <row r="166" spans="1:4" ht="25.2" x14ac:dyDescent="0.3">
      <c r="A166" s="52"/>
      <c r="B166" s="53"/>
      <c r="C166" s="53"/>
      <c r="D166" s="54"/>
    </row>
    <row r="167" spans="1:4" x14ac:dyDescent="0.3">
      <c r="A167" s="11" t="s">
        <v>1</v>
      </c>
      <c r="B167" s="3" t="s">
        <v>73</v>
      </c>
      <c r="C167" s="3"/>
      <c r="D167" s="12"/>
    </row>
    <row r="168" spans="1:4" x14ac:dyDescent="0.3">
      <c r="A168" s="11" t="s">
        <v>2</v>
      </c>
      <c r="B168" s="10" t="s">
        <v>77</v>
      </c>
      <c r="C168" s="4"/>
      <c r="D168" s="13"/>
    </row>
    <row r="169" spans="1:4" x14ac:dyDescent="0.3">
      <c r="A169" s="11" t="s">
        <v>3</v>
      </c>
      <c r="B169" s="3" t="s">
        <v>74</v>
      </c>
      <c r="C169" s="4"/>
      <c r="D169" s="14"/>
    </row>
    <row r="170" spans="1:4" x14ac:dyDescent="0.3">
      <c r="A170" s="11" t="s">
        <v>26</v>
      </c>
      <c r="B170" s="3" t="s">
        <v>117</v>
      </c>
      <c r="C170" s="4"/>
      <c r="D170" s="15"/>
    </row>
    <row r="171" spans="1:4" x14ac:dyDescent="0.3">
      <c r="A171" s="11" t="s">
        <v>99</v>
      </c>
      <c r="B171" s="55">
        <v>2022</v>
      </c>
      <c r="C171" s="4"/>
      <c r="D171" s="15"/>
    </row>
    <row r="172" spans="1:4" x14ac:dyDescent="0.3">
      <c r="A172" s="16"/>
      <c r="B172" s="5"/>
      <c r="C172" s="5"/>
      <c r="D172" s="17"/>
    </row>
    <row r="173" spans="1:4" x14ac:dyDescent="0.3">
      <c r="A173" s="39" t="s">
        <v>94</v>
      </c>
      <c r="B173" s="40"/>
      <c r="C173" s="41" t="s">
        <v>5</v>
      </c>
      <c r="D173" s="42" t="s">
        <v>6</v>
      </c>
    </row>
    <row r="174" spans="1:4" x14ac:dyDescent="0.3">
      <c r="A174" s="18"/>
      <c r="B174" s="6"/>
      <c r="C174" s="7"/>
      <c r="D174" s="19"/>
    </row>
    <row r="175" spans="1:4" x14ac:dyDescent="0.3">
      <c r="A175" s="26" t="s">
        <v>16</v>
      </c>
      <c r="B175" s="27"/>
      <c r="C175" s="28">
        <v>708</v>
      </c>
      <c r="D175" s="29"/>
    </row>
    <row r="176" spans="1:4" x14ac:dyDescent="0.3">
      <c r="A176" s="26" t="s">
        <v>104</v>
      </c>
      <c r="B176" s="27"/>
      <c r="C176" s="28"/>
      <c r="D176" s="29"/>
    </row>
    <row r="177" spans="1:4" x14ac:dyDescent="0.3">
      <c r="A177" s="26" t="s">
        <v>8</v>
      </c>
      <c r="B177" s="27"/>
      <c r="C177" s="28"/>
      <c r="D177" s="29"/>
    </row>
    <row r="178" spans="1:4" x14ac:dyDescent="0.3">
      <c r="A178" s="26" t="s">
        <v>9</v>
      </c>
      <c r="B178" s="27"/>
      <c r="C178" s="28"/>
      <c r="D178" s="29"/>
    </row>
    <row r="179" spans="1:4" x14ac:dyDescent="0.3">
      <c r="A179" s="26"/>
      <c r="B179" s="27" t="s">
        <v>19</v>
      </c>
      <c r="C179" s="28"/>
      <c r="D179" s="29">
        <f>C175*9.45%</f>
        <v>66.905999999999992</v>
      </c>
    </row>
    <row r="180" spans="1:4" x14ac:dyDescent="0.3">
      <c r="A180" s="26"/>
      <c r="B180" s="27" t="s">
        <v>11</v>
      </c>
      <c r="C180" s="28"/>
      <c r="D180" s="29"/>
    </row>
    <row r="181" spans="1:4" x14ac:dyDescent="0.3">
      <c r="A181" s="26"/>
      <c r="B181" s="27" t="s">
        <v>55</v>
      </c>
      <c r="C181" s="28"/>
      <c r="D181" s="29"/>
    </row>
    <row r="182" spans="1:4" x14ac:dyDescent="0.3">
      <c r="A182" s="26"/>
      <c r="B182" s="27" t="s">
        <v>101</v>
      </c>
      <c r="C182" s="28"/>
      <c r="D182" s="29"/>
    </row>
    <row r="183" spans="1:4" x14ac:dyDescent="0.3">
      <c r="A183" s="26"/>
      <c r="B183" s="27" t="s">
        <v>18</v>
      </c>
      <c r="C183" s="28"/>
      <c r="D183" s="29"/>
    </row>
    <row r="184" spans="1:4" x14ac:dyDescent="0.3">
      <c r="A184" s="26"/>
      <c r="B184" s="27"/>
      <c r="C184" s="28"/>
      <c r="D184" s="29"/>
    </row>
    <row r="185" spans="1:4" x14ac:dyDescent="0.3">
      <c r="A185" s="21"/>
      <c r="B185" s="8"/>
      <c r="C185" s="1"/>
      <c r="D185" s="20"/>
    </row>
    <row r="186" spans="1:4" x14ac:dyDescent="0.3">
      <c r="A186" s="43"/>
      <c r="B186" s="44" t="s">
        <v>12</v>
      </c>
      <c r="C186" s="46">
        <f>SUM(C175:C185)</f>
        <v>708</v>
      </c>
      <c r="D186" s="50">
        <f>SUM(D175:D185)</f>
        <v>66.905999999999992</v>
      </c>
    </row>
    <row r="187" spans="1:4" x14ac:dyDescent="0.3">
      <c r="A187" s="21"/>
      <c r="B187" s="3"/>
      <c r="C187" s="3"/>
      <c r="D187" s="22"/>
    </row>
    <row r="188" spans="1:4" ht="28.2" x14ac:dyDescent="0.3">
      <c r="A188" s="21"/>
      <c r="B188" s="45"/>
      <c r="C188" s="47" t="s">
        <v>13</v>
      </c>
      <c r="D188" s="51">
        <f>+C186-D186</f>
        <v>641.09400000000005</v>
      </c>
    </row>
    <row r="189" spans="1:4" x14ac:dyDescent="0.3">
      <c r="A189" s="21"/>
      <c r="B189" s="3"/>
      <c r="C189" s="3"/>
      <c r="D189" s="22"/>
    </row>
    <row r="190" spans="1:4" x14ac:dyDescent="0.3">
      <c r="A190" s="23"/>
      <c r="B190" s="4" t="s">
        <v>14</v>
      </c>
      <c r="C190" s="2"/>
      <c r="D190" s="24"/>
    </row>
    <row r="191" spans="1:4" ht="15" thickBot="1" x14ac:dyDescent="0.35">
      <c r="A191" s="23"/>
      <c r="B191" s="9"/>
      <c r="C191" s="9"/>
      <c r="D191" s="24"/>
    </row>
    <row r="192" spans="1:4" x14ac:dyDescent="0.3">
      <c r="A192" s="300" t="s">
        <v>28</v>
      </c>
      <c r="B192" s="300" t="s">
        <v>93</v>
      </c>
      <c r="C192" s="302" t="s">
        <v>30</v>
      </c>
      <c r="D192" s="303"/>
    </row>
    <row r="193" spans="1:4" ht="15" thickBot="1" x14ac:dyDescent="0.35">
      <c r="A193" s="301"/>
      <c r="B193" s="301"/>
      <c r="C193" s="304"/>
      <c r="D193" s="30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7"/>
      <c r="B199" s="34"/>
      <c r="C199" s="32"/>
      <c r="D199" s="25"/>
    </row>
    <row r="200" spans="1:4" x14ac:dyDescent="0.3">
      <c r="A200" s="37"/>
      <c r="B200" s="34"/>
      <c r="C200" s="32"/>
      <c r="D200" s="25"/>
    </row>
    <row r="201" spans="1:4" x14ac:dyDescent="0.3">
      <c r="A201" s="37"/>
      <c r="B201" s="34"/>
      <c r="C201" s="32"/>
      <c r="D201" s="25"/>
    </row>
    <row r="202" spans="1:4" x14ac:dyDescent="0.3">
      <c r="A202" s="37"/>
      <c r="B202" s="34"/>
      <c r="C202" s="32"/>
      <c r="D202" s="25"/>
    </row>
    <row r="203" spans="1:4" x14ac:dyDescent="0.3">
      <c r="A203" s="37"/>
      <c r="B203" s="34"/>
      <c r="C203" s="32"/>
      <c r="D203" s="25"/>
    </row>
    <row r="204" spans="1:4" x14ac:dyDescent="0.3">
      <c r="A204" s="38" t="s">
        <v>20</v>
      </c>
      <c r="B204" s="35" t="s">
        <v>21</v>
      </c>
      <c r="C204" s="290" t="s">
        <v>75</v>
      </c>
      <c r="D204" s="291"/>
    </row>
    <row r="205" spans="1:4" ht="15" thickBot="1" x14ac:dyDescent="0.35">
      <c r="A205" s="36" t="s">
        <v>22</v>
      </c>
      <c r="B205" s="33" t="s">
        <v>23</v>
      </c>
      <c r="C205" s="292" t="s">
        <v>76</v>
      </c>
      <c r="D205" s="293"/>
    </row>
    <row r="209" spans="1:4" ht="15" thickBot="1" x14ac:dyDescent="0.35"/>
    <row r="210" spans="1:4" ht="25.2" x14ac:dyDescent="0.3">
      <c r="A210" s="294"/>
      <c r="B210" s="295"/>
      <c r="C210" s="295"/>
      <c r="D210" s="296"/>
    </row>
    <row r="211" spans="1:4" x14ac:dyDescent="0.3">
      <c r="A211" s="31"/>
      <c r="B211" s="48"/>
      <c r="C211" s="2"/>
      <c r="D211" s="30"/>
    </row>
    <row r="212" spans="1:4" x14ac:dyDescent="0.3">
      <c r="A212" s="31"/>
      <c r="B212" s="49"/>
      <c r="C212" s="2"/>
      <c r="D212" s="30"/>
    </row>
    <row r="213" spans="1:4" x14ac:dyDescent="0.3">
      <c r="A213" s="31"/>
      <c r="B213" s="49"/>
      <c r="C213" s="2"/>
      <c r="D213" s="30"/>
    </row>
    <row r="214" spans="1:4" ht="15" thickBot="1" x14ac:dyDescent="0.35">
      <c r="A214" s="31"/>
      <c r="B214" s="2"/>
      <c r="C214" s="2"/>
      <c r="D214" s="30"/>
    </row>
    <row r="215" spans="1:4" ht="25.8" thickBot="1" x14ac:dyDescent="0.35">
      <c r="A215" s="297" t="s">
        <v>0</v>
      </c>
      <c r="B215" s="298"/>
      <c r="C215" s="298"/>
      <c r="D215" s="299"/>
    </row>
    <row r="216" spans="1:4" ht="25.2" x14ac:dyDescent="0.3">
      <c r="A216" s="52"/>
      <c r="B216" s="53"/>
      <c r="C216" s="53"/>
      <c r="D216" s="54"/>
    </row>
    <row r="217" spans="1:4" x14ac:dyDescent="0.3">
      <c r="A217" s="11" t="s">
        <v>1</v>
      </c>
      <c r="B217" s="3" t="s">
        <v>73</v>
      </c>
      <c r="C217" s="3"/>
      <c r="D217" s="12"/>
    </row>
    <row r="218" spans="1:4" x14ac:dyDescent="0.3">
      <c r="A218" s="11" t="s">
        <v>2</v>
      </c>
      <c r="B218" s="10" t="s">
        <v>77</v>
      </c>
      <c r="C218" s="4"/>
      <c r="D218" s="13"/>
    </row>
    <row r="219" spans="1:4" x14ac:dyDescent="0.3">
      <c r="A219" s="11" t="s">
        <v>3</v>
      </c>
      <c r="B219" s="3" t="s">
        <v>74</v>
      </c>
      <c r="C219" s="4"/>
      <c r="D219" s="14"/>
    </row>
    <row r="220" spans="1:4" x14ac:dyDescent="0.3">
      <c r="A220" s="11" t="s">
        <v>26</v>
      </c>
      <c r="B220" s="3" t="s">
        <v>119</v>
      </c>
      <c r="C220" s="4"/>
      <c r="D220" s="15"/>
    </row>
    <row r="221" spans="1:4" x14ac:dyDescent="0.3">
      <c r="A221" s="11" t="s">
        <v>99</v>
      </c>
      <c r="B221" s="55">
        <v>2022</v>
      </c>
      <c r="C221" s="4"/>
      <c r="D221" s="15"/>
    </row>
    <row r="222" spans="1:4" x14ac:dyDescent="0.3">
      <c r="A222" s="16"/>
      <c r="B222" s="5"/>
      <c r="C222" s="5"/>
      <c r="D222" s="17"/>
    </row>
    <row r="223" spans="1:4" x14ac:dyDescent="0.3">
      <c r="A223" s="39" t="s">
        <v>94</v>
      </c>
      <c r="B223" s="40"/>
      <c r="C223" s="41" t="s">
        <v>5</v>
      </c>
      <c r="D223" s="42" t="s">
        <v>6</v>
      </c>
    </row>
    <row r="224" spans="1:4" x14ac:dyDescent="0.3">
      <c r="A224" s="18"/>
      <c r="B224" s="6"/>
      <c r="C224" s="7"/>
      <c r="D224" s="19"/>
    </row>
    <row r="225" spans="1:4" x14ac:dyDescent="0.3">
      <c r="A225" s="26" t="s">
        <v>16</v>
      </c>
      <c r="B225" s="27"/>
      <c r="C225" s="28">
        <v>708</v>
      </c>
      <c r="D225" s="29"/>
    </row>
    <row r="226" spans="1:4" x14ac:dyDescent="0.3">
      <c r="A226" s="26" t="s">
        <v>104</v>
      </c>
      <c r="B226" s="27"/>
      <c r="C226" s="28"/>
      <c r="D226" s="29"/>
    </row>
    <row r="227" spans="1:4" x14ac:dyDescent="0.3">
      <c r="A227" s="26" t="s">
        <v>8</v>
      </c>
      <c r="B227" s="27"/>
      <c r="C227" s="28"/>
      <c r="D227" s="29"/>
    </row>
    <row r="228" spans="1:4" x14ac:dyDescent="0.3">
      <c r="A228" s="26" t="s">
        <v>9</v>
      </c>
      <c r="B228" s="27"/>
      <c r="C228" s="28"/>
      <c r="D228" s="29"/>
    </row>
    <row r="229" spans="1:4" x14ac:dyDescent="0.3">
      <c r="A229" s="26"/>
      <c r="B229" s="27" t="s">
        <v>19</v>
      </c>
      <c r="C229" s="28"/>
      <c r="D229" s="29">
        <f>C225*9.45%</f>
        <v>66.905999999999992</v>
      </c>
    </row>
    <row r="230" spans="1:4" x14ac:dyDescent="0.3">
      <c r="A230" s="26"/>
      <c r="B230" s="27" t="s">
        <v>11</v>
      </c>
      <c r="C230" s="28"/>
      <c r="D230" s="29"/>
    </row>
    <row r="231" spans="1:4" x14ac:dyDescent="0.3">
      <c r="A231" s="26"/>
      <c r="B231" s="27" t="s">
        <v>55</v>
      </c>
      <c r="C231" s="28"/>
      <c r="D231" s="29"/>
    </row>
    <row r="232" spans="1:4" x14ac:dyDescent="0.3">
      <c r="A232" s="26"/>
      <c r="B232" s="27" t="s">
        <v>101</v>
      </c>
      <c r="C232" s="28"/>
      <c r="D232" s="29"/>
    </row>
    <row r="233" spans="1:4" x14ac:dyDescent="0.3">
      <c r="A233" s="26"/>
      <c r="B233" s="27" t="s">
        <v>18</v>
      </c>
      <c r="C233" s="28"/>
      <c r="D233" s="29"/>
    </row>
    <row r="234" spans="1:4" x14ac:dyDescent="0.3">
      <c r="A234" s="26"/>
      <c r="B234" s="27"/>
      <c r="C234" s="28"/>
      <c r="D234" s="29"/>
    </row>
    <row r="235" spans="1:4" x14ac:dyDescent="0.3">
      <c r="A235" s="21"/>
      <c r="B235" s="8"/>
      <c r="C235" s="1"/>
      <c r="D235" s="20"/>
    </row>
    <row r="236" spans="1:4" x14ac:dyDescent="0.3">
      <c r="A236" s="43"/>
      <c r="B236" s="44" t="s">
        <v>12</v>
      </c>
      <c r="C236" s="46">
        <f>SUM(C225:C235)</f>
        <v>708</v>
      </c>
      <c r="D236" s="50">
        <f>SUM(D225:D235)</f>
        <v>66.905999999999992</v>
      </c>
    </row>
    <row r="237" spans="1:4" x14ac:dyDescent="0.3">
      <c r="A237" s="21"/>
      <c r="B237" s="3"/>
      <c r="C237" s="3"/>
      <c r="D237" s="22"/>
    </row>
    <row r="238" spans="1:4" ht="28.2" x14ac:dyDescent="0.3">
      <c r="A238" s="21"/>
      <c r="B238" s="45"/>
      <c r="C238" s="47" t="s">
        <v>13</v>
      </c>
      <c r="D238" s="51">
        <f>+C236-D236</f>
        <v>641.09400000000005</v>
      </c>
    </row>
    <row r="239" spans="1:4" x14ac:dyDescent="0.3">
      <c r="A239" s="21"/>
      <c r="B239" s="3"/>
      <c r="C239" s="3"/>
      <c r="D239" s="22"/>
    </row>
    <row r="240" spans="1:4" x14ac:dyDescent="0.3">
      <c r="A240" s="23"/>
      <c r="B240" s="4" t="s">
        <v>14</v>
      </c>
      <c r="C240" s="2"/>
      <c r="D240" s="24"/>
    </row>
    <row r="241" spans="1:4" ht="15" thickBot="1" x14ac:dyDescent="0.35">
      <c r="A241" s="23"/>
      <c r="B241" s="9"/>
      <c r="C241" s="9"/>
      <c r="D241" s="24"/>
    </row>
    <row r="242" spans="1:4" x14ac:dyDescent="0.3">
      <c r="A242" s="300" t="s">
        <v>28</v>
      </c>
      <c r="B242" s="300" t="s">
        <v>93</v>
      </c>
      <c r="C242" s="302" t="s">
        <v>30</v>
      </c>
      <c r="D242" s="303"/>
    </row>
    <row r="243" spans="1:4" ht="15" thickBot="1" x14ac:dyDescent="0.35">
      <c r="A243" s="301"/>
      <c r="B243" s="301"/>
      <c r="C243" s="304"/>
      <c r="D243" s="30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7"/>
      <c r="B249" s="34"/>
      <c r="C249" s="32"/>
      <c r="D249" s="25"/>
    </row>
    <row r="250" spans="1:4" x14ac:dyDescent="0.3">
      <c r="A250" s="37"/>
      <c r="B250" s="34"/>
      <c r="C250" s="32"/>
      <c r="D250" s="25"/>
    </row>
    <row r="251" spans="1:4" x14ac:dyDescent="0.3">
      <c r="A251" s="37"/>
      <c r="B251" s="34"/>
      <c r="C251" s="32"/>
      <c r="D251" s="25"/>
    </row>
    <row r="252" spans="1:4" x14ac:dyDescent="0.3">
      <c r="A252" s="37"/>
      <c r="B252" s="34"/>
      <c r="C252" s="32"/>
      <c r="D252" s="25"/>
    </row>
    <row r="253" spans="1:4" x14ac:dyDescent="0.3">
      <c r="A253" s="37"/>
      <c r="B253" s="34"/>
      <c r="C253" s="32"/>
      <c r="D253" s="25"/>
    </row>
    <row r="254" spans="1:4" x14ac:dyDescent="0.3">
      <c r="A254" s="38" t="s">
        <v>20</v>
      </c>
      <c r="B254" s="35" t="s">
        <v>21</v>
      </c>
      <c r="C254" s="290" t="s">
        <v>75</v>
      </c>
      <c r="D254" s="291"/>
    </row>
    <row r="255" spans="1:4" ht="15" thickBot="1" x14ac:dyDescent="0.35">
      <c r="A255" s="36" t="s">
        <v>22</v>
      </c>
      <c r="B255" s="33" t="s">
        <v>23</v>
      </c>
      <c r="C255" s="292" t="s">
        <v>76</v>
      </c>
      <c r="D255" s="293"/>
    </row>
    <row r="259" spans="1:4" ht="15" thickBot="1" x14ac:dyDescent="0.35"/>
    <row r="260" spans="1:4" ht="25.2" x14ac:dyDescent="0.3">
      <c r="A260" s="294"/>
      <c r="B260" s="295"/>
      <c r="C260" s="295"/>
      <c r="D260" s="296"/>
    </row>
    <row r="261" spans="1:4" x14ac:dyDescent="0.3">
      <c r="A261" s="31"/>
      <c r="B261" s="48"/>
      <c r="C261" s="2"/>
      <c r="D261" s="30"/>
    </row>
    <row r="262" spans="1:4" x14ac:dyDescent="0.3">
      <c r="A262" s="31"/>
      <c r="B262" s="49"/>
      <c r="C262" s="2"/>
      <c r="D262" s="30"/>
    </row>
    <row r="263" spans="1:4" x14ac:dyDescent="0.3">
      <c r="A263" s="31"/>
      <c r="B263" s="49"/>
      <c r="C263" s="2"/>
      <c r="D263" s="30"/>
    </row>
    <row r="264" spans="1:4" ht="15" thickBot="1" x14ac:dyDescent="0.35">
      <c r="A264" s="31"/>
      <c r="B264" s="2"/>
      <c r="C264" s="2"/>
      <c r="D264" s="30"/>
    </row>
    <row r="265" spans="1:4" ht="25.8" thickBot="1" x14ac:dyDescent="0.35">
      <c r="A265" s="297" t="s">
        <v>0</v>
      </c>
      <c r="B265" s="298"/>
      <c r="C265" s="298"/>
      <c r="D265" s="299"/>
    </row>
    <row r="266" spans="1:4" ht="25.2" x14ac:dyDescent="0.3">
      <c r="A266" s="52"/>
      <c r="B266" s="53"/>
      <c r="C266" s="53"/>
      <c r="D266" s="54"/>
    </row>
    <row r="267" spans="1:4" x14ac:dyDescent="0.3">
      <c r="A267" s="11" t="s">
        <v>1</v>
      </c>
      <c r="B267" s="3" t="s">
        <v>73</v>
      </c>
      <c r="C267" s="3"/>
      <c r="D267" s="12"/>
    </row>
    <row r="268" spans="1:4" x14ac:dyDescent="0.3">
      <c r="A268" s="11" t="s">
        <v>2</v>
      </c>
      <c r="B268" s="10" t="s">
        <v>77</v>
      </c>
      <c r="C268" s="4"/>
      <c r="D268" s="13"/>
    </row>
    <row r="269" spans="1:4" x14ac:dyDescent="0.3">
      <c r="A269" s="11" t="s">
        <v>3</v>
      </c>
      <c r="B269" s="3" t="s">
        <v>74</v>
      </c>
      <c r="C269" s="4"/>
      <c r="D269" s="14"/>
    </row>
    <row r="270" spans="1:4" x14ac:dyDescent="0.3">
      <c r="A270" s="11" t="s">
        <v>26</v>
      </c>
      <c r="B270" s="3" t="s">
        <v>120</v>
      </c>
      <c r="C270" s="4"/>
      <c r="D270" s="15"/>
    </row>
    <row r="271" spans="1:4" x14ac:dyDescent="0.3">
      <c r="A271" s="11" t="s">
        <v>99</v>
      </c>
      <c r="B271" s="55">
        <v>2022</v>
      </c>
      <c r="C271" s="4"/>
      <c r="D271" s="15"/>
    </row>
    <row r="272" spans="1:4" x14ac:dyDescent="0.3">
      <c r="A272" s="16"/>
      <c r="B272" s="5"/>
      <c r="C272" s="5"/>
      <c r="D272" s="17"/>
    </row>
    <row r="273" spans="1:4" x14ac:dyDescent="0.3">
      <c r="A273" s="39" t="s">
        <v>94</v>
      </c>
      <c r="B273" s="40"/>
      <c r="C273" s="41" t="s">
        <v>5</v>
      </c>
      <c r="D273" s="42" t="s">
        <v>6</v>
      </c>
    </row>
    <row r="274" spans="1:4" x14ac:dyDescent="0.3">
      <c r="A274" s="18"/>
      <c r="B274" s="6"/>
      <c r="C274" s="7"/>
      <c r="D274" s="19"/>
    </row>
    <row r="275" spans="1:4" x14ac:dyDescent="0.3">
      <c r="A275" s="26" t="s">
        <v>16</v>
      </c>
      <c r="B275" s="27"/>
      <c r="C275" s="28">
        <v>708</v>
      </c>
      <c r="D275" s="29"/>
    </row>
    <row r="276" spans="1:4" x14ac:dyDescent="0.3">
      <c r="A276" s="26" t="s">
        <v>104</v>
      </c>
      <c r="B276" s="27"/>
      <c r="C276" s="28"/>
      <c r="D276" s="29"/>
    </row>
    <row r="277" spans="1:4" x14ac:dyDescent="0.3">
      <c r="A277" s="26" t="s">
        <v>8</v>
      </c>
      <c r="B277" s="27"/>
      <c r="C277" s="28"/>
      <c r="D277" s="29"/>
    </row>
    <row r="278" spans="1:4" x14ac:dyDescent="0.3">
      <c r="A278" s="26" t="s">
        <v>9</v>
      </c>
      <c r="B278" s="27"/>
      <c r="C278" s="28"/>
      <c r="D278" s="29"/>
    </row>
    <row r="279" spans="1:4" x14ac:dyDescent="0.3">
      <c r="A279" s="26"/>
      <c r="B279" s="27" t="s">
        <v>19</v>
      </c>
      <c r="C279" s="28"/>
      <c r="D279" s="29">
        <f>C275*9.45%</f>
        <v>66.905999999999992</v>
      </c>
    </row>
    <row r="280" spans="1:4" x14ac:dyDescent="0.3">
      <c r="A280" s="26"/>
      <c r="B280" s="27" t="s">
        <v>11</v>
      </c>
      <c r="C280" s="28"/>
      <c r="D280" s="29"/>
    </row>
    <row r="281" spans="1:4" x14ac:dyDescent="0.3">
      <c r="A281" s="26"/>
      <c r="B281" s="27" t="s">
        <v>55</v>
      </c>
      <c r="C281" s="28"/>
      <c r="D281" s="29"/>
    </row>
    <row r="282" spans="1:4" x14ac:dyDescent="0.3">
      <c r="A282" s="26"/>
      <c r="B282" s="27" t="s">
        <v>101</v>
      </c>
      <c r="C282" s="28"/>
      <c r="D282" s="29"/>
    </row>
    <row r="283" spans="1:4" x14ac:dyDescent="0.3">
      <c r="A283" s="26"/>
      <c r="B283" s="27" t="s">
        <v>18</v>
      </c>
      <c r="C283" s="28"/>
      <c r="D283" s="29"/>
    </row>
    <row r="284" spans="1:4" x14ac:dyDescent="0.3">
      <c r="A284" s="26"/>
      <c r="B284" s="27"/>
      <c r="C284" s="28"/>
      <c r="D284" s="29"/>
    </row>
    <row r="285" spans="1:4" x14ac:dyDescent="0.3">
      <c r="A285" s="21"/>
      <c r="B285" s="8"/>
      <c r="C285" s="1"/>
      <c r="D285" s="20"/>
    </row>
    <row r="286" spans="1:4" x14ac:dyDescent="0.3">
      <c r="A286" s="43"/>
      <c r="B286" s="44" t="s">
        <v>12</v>
      </c>
      <c r="C286" s="46">
        <f>SUM(C275:C285)</f>
        <v>708</v>
      </c>
      <c r="D286" s="50">
        <f>SUM(D275:D285)</f>
        <v>66.905999999999992</v>
      </c>
    </row>
    <row r="287" spans="1:4" x14ac:dyDescent="0.3">
      <c r="A287" s="21"/>
      <c r="B287" s="3"/>
      <c r="C287" s="3"/>
      <c r="D287" s="22"/>
    </row>
    <row r="288" spans="1:4" ht="28.2" x14ac:dyDescent="0.3">
      <c r="A288" s="21"/>
      <c r="B288" s="45"/>
      <c r="C288" s="47" t="s">
        <v>13</v>
      </c>
      <c r="D288" s="51">
        <f>+C286-D286</f>
        <v>641.09400000000005</v>
      </c>
    </row>
    <row r="289" spans="1:4" x14ac:dyDescent="0.3">
      <c r="A289" s="21"/>
      <c r="B289" s="3"/>
      <c r="C289" s="3"/>
      <c r="D289" s="22"/>
    </row>
    <row r="290" spans="1:4" x14ac:dyDescent="0.3">
      <c r="A290" s="23"/>
      <c r="B290" s="4" t="s">
        <v>14</v>
      </c>
      <c r="C290" s="2"/>
      <c r="D290" s="24"/>
    </row>
    <row r="291" spans="1:4" ht="15" thickBot="1" x14ac:dyDescent="0.35">
      <c r="A291" s="23"/>
      <c r="B291" s="9"/>
      <c r="C291" s="9"/>
      <c r="D291" s="24"/>
    </row>
    <row r="292" spans="1:4" x14ac:dyDescent="0.3">
      <c r="A292" s="300" t="s">
        <v>28</v>
      </c>
      <c r="B292" s="300" t="s">
        <v>93</v>
      </c>
      <c r="C292" s="302" t="s">
        <v>30</v>
      </c>
      <c r="D292" s="303"/>
    </row>
    <row r="293" spans="1:4" ht="15" thickBot="1" x14ac:dyDescent="0.35">
      <c r="A293" s="301"/>
      <c r="B293" s="301"/>
      <c r="C293" s="304"/>
      <c r="D293" s="30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7"/>
      <c r="B299" s="34"/>
      <c r="C299" s="32"/>
      <c r="D299" s="25"/>
    </row>
    <row r="300" spans="1:4" x14ac:dyDescent="0.3">
      <c r="A300" s="37"/>
      <c r="B300" s="34"/>
      <c r="C300" s="32"/>
      <c r="D300" s="25"/>
    </row>
    <row r="301" spans="1:4" x14ac:dyDescent="0.3">
      <c r="A301" s="37"/>
      <c r="B301" s="34"/>
      <c r="C301" s="32"/>
      <c r="D301" s="25"/>
    </row>
    <row r="302" spans="1:4" x14ac:dyDescent="0.3">
      <c r="A302" s="37"/>
      <c r="B302" s="34"/>
      <c r="C302" s="32"/>
      <c r="D302" s="25"/>
    </row>
    <row r="303" spans="1:4" x14ac:dyDescent="0.3">
      <c r="A303" s="37"/>
      <c r="B303" s="34"/>
      <c r="C303" s="32"/>
      <c r="D303" s="25"/>
    </row>
    <row r="304" spans="1:4" x14ac:dyDescent="0.3">
      <c r="A304" s="38" t="s">
        <v>20</v>
      </c>
      <c r="B304" s="35" t="s">
        <v>21</v>
      </c>
      <c r="C304" s="290" t="s">
        <v>75</v>
      </c>
      <c r="D304" s="291"/>
    </row>
    <row r="305" spans="1:4" ht="15" thickBot="1" x14ac:dyDescent="0.35">
      <c r="A305" s="36" t="s">
        <v>22</v>
      </c>
      <c r="B305" s="33" t="s">
        <v>23</v>
      </c>
      <c r="C305" s="292" t="s">
        <v>76</v>
      </c>
      <c r="D305" s="293"/>
    </row>
    <row r="309" spans="1:4" ht="15" thickBot="1" x14ac:dyDescent="0.35"/>
    <row r="310" spans="1:4" ht="25.2" x14ac:dyDescent="0.3">
      <c r="A310" s="294"/>
      <c r="B310" s="295"/>
      <c r="C310" s="295"/>
      <c r="D310" s="296"/>
    </row>
    <row r="311" spans="1:4" x14ac:dyDescent="0.3">
      <c r="A311" s="31"/>
      <c r="B311" s="48"/>
      <c r="C311" s="2"/>
      <c r="D311" s="30"/>
    </row>
    <row r="312" spans="1:4" x14ac:dyDescent="0.3">
      <c r="A312" s="31"/>
      <c r="B312" s="49"/>
      <c r="C312" s="2"/>
      <c r="D312" s="30"/>
    </row>
    <row r="313" spans="1:4" x14ac:dyDescent="0.3">
      <c r="A313" s="31"/>
      <c r="B313" s="49"/>
      <c r="C313" s="2"/>
      <c r="D313" s="30"/>
    </row>
    <row r="314" spans="1:4" ht="15" thickBot="1" x14ac:dyDescent="0.35">
      <c r="A314" s="31"/>
      <c r="B314" s="2"/>
      <c r="C314" s="2"/>
      <c r="D314" s="30"/>
    </row>
    <row r="315" spans="1:4" ht="25.8" thickBot="1" x14ac:dyDescent="0.35">
      <c r="A315" s="297" t="s">
        <v>0</v>
      </c>
      <c r="B315" s="298"/>
      <c r="C315" s="298"/>
      <c r="D315" s="299"/>
    </row>
    <row r="316" spans="1:4" ht="25.2" x14ac:dyDescent="0.3">
      <c r="A316" s="52"/>
      <c r="B316" s="53"/>
      <c r="C316" s="53"/>
      <c r="D316" s="54"/>
    </row>
    <row r="317" spans="1:4" x14ac:dyDescent="0.3">
      <c r="A317" s="11" t="s">
        <v>1</v>
      </c>
      <c r="B317" s="3" t="s">
        <v>73</v>
      </c>
      <c r="C317" s="3"/>
      <c r="D317" s="12"/>
    </row>
    <row r="318" spans="1:4" x14ac:dyDescent="0.3">
      <c r="A318" s="11" t="s">
        <v>2</v>
      </c>
      <c r="B318" s="10" t="s">
        <v>77</v>
      </c>
      <c r="C318" s="4"/>
      <c r="D318" s="13"/>
    </row>
    <row r="319" spans="1:4" x14ac:dyDescent="0.3">
      <c r="A319" s="11" t="s">
        <v>3</v>
      </c>
      <c r="B319" s="3" t="s">
        <v>74</v>
      </c>
      <c r="C319" s="4"/>
      <c r="D319" s="14"/>
    </row>
    <row r="320" spans="1:4" x14ac:dyDescent="0.3">
      <c r="A320" s="11" t="s">
        <v>26</v>
      </c>
      <c r="B320" s="3" t="s">
        <v>122</v>
      </c>
      <c r="C320" s="4"/>
      <c r="D320" s="15"/>
    </row>
    <row r="321" spans="1:4" x14ac:dyDescent="0.3">
      <c r="A321" s="11" t="s">
        <v>99</v>
      </c>
      <c r="B321" s="55">
        <v>2022</v>
      </c>
      <c r="C321" s="4"/>
      <c r="D321" s="15"/>
    </row>
    <row r="322" spans="1:4" x14ac:dyDescent="0.3">
      <c r="A322" s="16"/>
      <c r="B322" s="5"/>
      <c r="C322" s="5"/>
      <c r="D322" s="17"/>
    </row>
    <row r="323" spans="1:4" x14ac:dyDescent="0.3">
      <c r="A323" s="39" t="s">
        <v>94</v>
      </c>
      <c r="B323" s="40"/>
      <c r="C323" s="41" t="s">
        <v>5</v>
      </c>
      <c r="D323" s="42" t="s">
        <v>6</v>
      </c>
    </row>
    <row r="324" spans="1:4" x14ac:dyDescent="0.3">
      <c r="A324" s="18"/>
      <c r="B324" s="6"/>
      <c r="C324" s="7"/>
      <c r="D324" s="19"/>
    </row>
    <row r="325" spans="1:4" x14ac:dyDescent="0.3">
      <c r="A325" s="26" t="s">
        <v>16</v>
      </c>
      <c r="B325" s="27"/>
      <c r="C325" s="28">
        <v>708</v>
      </c>
      <c r="D325" s="29"/>
    </row>
    <row r="326" spans="1:4" x14ac:dyDescent="0.3">
      <c r="A326" s="26" t="s">
        <v>104</v>
      </c>
      <c r="B326" s="27"/>
      <c r="C326" s="28"/>
      <c r="D326" s="29"/>
    </row>
    <row r="327" spans="1:4" x14ac:dyDescent="0.3">
      <c r="A327" s="26" t="s">
        <v>8</v>
      </c>
      <c r="B327" s="27"/>
      <c r="C327" s="28"/>
      <c r="D327" s="29"/>
    </row>
    <row r="328" spans="1:4" x14ac:dyDescent="0.3">
      <c r="A328" s="26" t="s">
        <v>9</v>
      </c>
      <c r="B328" s="27"/>
      <c r="C328" s="28"/>
      <c r="D328" s="29"/>
    </row>
    <row r="329" spans="1:4" x14ac:dyDescent="0.3">
      <c r="A329" s="26"/>
      <c r="B329" s="27" t="s">
        <v>19</v>
      </c>
      <c r="C329" s="28"/>
      <c r="D329" s="29">
        <f>C325*9.45%</f>
        <v>66.905999999999992</v>
      </c>
    </row>
    <row r="330" spans="1:4" x14ac:dyDescent="0.3">
      <c r="A330" s="26"/>
      <c r="B330" s="27" t="s">
        <v>11</v>
      </c>
      <c r="C330" s="28"/>
      <c r="D330" s="29"/>
    </row>
    <row r="331" spans="1:4" x14ac:dyDescent="0.3">
      <c r="A331" s="26"/>
      <c r="B331" s="27" t="s">
        <v>55</v>
      </c>
      <c r="C331" s="28"/>
      <c r="D331" s="29"/>
    </row>
    <row r="332" spans="1:4" x14ac:dyDescent="0.3">
      <c r="A332" s="26"/>
      <c r="B332" s="27" t="s">
        <v>101</v>
      </c>
      <c r="C332" s="28"/>
      <c r="D332" s="29"/>
    </row>
    <row r="333" spans="1:4" x14ac:dyDescent="0.3">
      <c r="A333" s="26"/>
      <c r="B333" s="27" t="s">
        <v>18</v>
      </c>
      <c r="C333" s="28"/>
      <c r="D333" s="29"/>
    </row>
    <row r="334" spans="1:4" x14ac:dyDescent="0.3">
      <c r="A334" s="26"/>
      <c r="B334" s="27"/>
      <c r="C334" s="28"/>
      <c r="D334" s="29"/>
    </row>
    <row r="335" spans="1:4" x14ac:dyDescent="0.3">
      <c r="A335" s="21"/>
      <c r="B335" s="8"/>
      <c r="C335" s="1"/>
      <c r="D335" s="20"/>
    </row>
    <row r="336" spans="1:4" x14ac:dyDescent="0.3">
      <c r="A336" s="43"/>
      <c r="B336" s="44" t="s">
        <v>12</v>
      </c>
      <c r="C336" s="46">
        <f>SUM(C325:C335)</f>
        <v>708</v>
      </c>
      <c r="D336" s="50">
        <f>SUM(D325:D335)</f>
        <v>66.905999999999992</v>
      </c>
    </row>
    <row r="337" spans="1:4" x14ac:dyDescent="0.3">
      <c r="A337" s="21"/>
      <c r="B337" s="3"/>
      <c r="C337" s="3"/>
      <c r="D337" s="22"/>
    </row>
    <row r="338" spans="1:4" ht="28.2" x14ac:dyDescent="0.3">
      <c r="A338" s="21"/>
      <c r="B338" s="45"/>
      <c r="C338" s="47" t="s">
        <v>13</v>
      </c>
      <c r="D338" s="51">
        <f>+C336-D336</f>
        <v>641.09400000000005</v>
      </c>
    </row>
    <row r="339" spans="1:4" x14ac:dyDescent="0.3">
      <c r="A339" s="21"/>
      <c r="B339" s="3"/>
      <c r="C339" s="3"/>
      <c r="D339" s="22"/>
    </row>
    <row r="340" spans="1:4" x14ac:dyDescent="0.3">
      <c r="A340" s="23"/>
      <c r="B340" s="4" t="s">
        <v>14</v>
      </c>
      <c r="C340" s="2"/>
      <c r="D340" s="24"/>
    </row>
    <row r="341" spans="1:4" ht="15" thickBot="1" x14ac:dyDescent="0.35">
      <c r="A341" s="23"/>
      <c r="B341" s="9"/>
      <c r="C341" s="9"/>
      <c r="D341" s="24"/>
    </row>
    <row r="342" spans="1:4" x14ac:dyDescent="0.3">
      <c r="A342" s="300" t="s">
        <v>28</v>
      </c>
      <c r="B342" s="300" t="s">
        <v>93</v>
      </c>
      <c r="C342" s="302" t="s">
        <v>30</v>
      </c>
      <c r="D342" s="303"/>
    </row>
    <row r="343" spans="1:4" ht="15" thickBot="1" x14ac:dyDescent="0.35">
      <c r="A343" s="301"/>
      <c r="B343" s="301"/>
      <c r="C343" s="304"/>
      <c r="D343" s="30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7"/>
      <c r="B349" s="34"/>
      <c r="C349" s="32"/>
      <c r="D349" s="25"/>
    </row>
    <row r="350" spans="1:4" x14ac:dyDescent="0.3">
      <c r="A350" s="37"/>
      <c r="B350" s="34"/>
      <c r="C350" s="32"/>
      <c r="D350" s="25"/>
    </row>
    <row r="351" spans="1:4" x14ac:dyDescent="0.3">
      <c r="A351" s="37"/>
      <c r="B351" s="34"/>
      <c r="C351" s="32"/>
      <c r="D351" s="25"/>
    </row>
    <row r="352" spans="1:4" x14ac:dyDescent="0.3">
      <c r="A352" s="37"/>
      <c r="B352" s="34"/>
      <c r="C352" s="32"/>
      <c r="D352" s="25"/>
    </row>
    <row r="353" spans="1:4" x14ac:dyDescent="0.3">
      <c r="A353" s="37"/>
      <c r="B353" s="34"/>
      <c r="C353" s="32"/>
      <c r="D353" s="25"/>
    </row>
    <row r="354" spans="1:4" x14ac:dyDescent="0.3">
      <c r="A354" s="38" t="s">
        <v>20</v>
      </c>
      <c r="B354" s="35" t="s">
        <v>21</v>
      </c>
      <c r="C354" s="290" t="s">
        <v>75</v>
      </c>
      <c r="D354" s="291"/>
    </row>
    <row r="355" spans="1:4" ht="15" thickBot="1" x14ac:dyDescent="0.35">
      <c r="A355" s="36" t="s">
        <v>22</v>
      </c>
      <c r="B355" s="33" t="s">
        <v>23</v>
      </c>
      <c r="C355" s="292" t="s">
        <v>76</v>
      </c>
      <c r="D355" s="293"/>
    </row>
    <row r="359" spans="1:4" ht="15" thickBot="1" x14ac:dyDescent="0.35"/>
    <row r="360" spans="1:4" ht="25.2" x14ac:dyDescent="0.3">
      <c r="A360" s="294"/>
      <c r="B360" s="295"/>
      <c r="C360" s="295"/>
      <c r="D360" s="296"/>
    </row>
    <row r="361" spans="1:4" x14ac:dyDescent="0.3">
      <c r="A361" s="31"/>
      <c r="B361" s="48"/>
      <c r="C361" s="2"/>
      <c r="D361" s="30"/>
    </row>
    <row r="362" spans="1:4" x14ac:dyDescent="0.3">
      <c r="A362" s="31"/>
      <c r="B362" s="49"/>
      <c r="C362" s="2"/>
      <c r="D362" s="30"/>
    </row>
    <row r="363" spans="1:4" x14ac:dyDescent="0.3">
      <c r="A363" s="31"/>
      <c r="B363" s="49"/>
      <c r="C363" s="2"/>
      <c r="D363" s="30"/>
    </row>
    <row r="364" spans="1:4" ht="15" thickBot="1" x14ac:dyDescent="0.35">
      <c r="A364" s="31"/>
      <c r="B364" s="2"/>
      <c r="C364" s="2"/>
      <c r="D364" s="30"/>
    </row>
    <row r="365" spans="1:4" ht="25.8" thickBot="1" x14ac:dyDescent="0.35">
      <c r="A365" s="297" t="s">
        <v>133</v>
      </c>
      <c r="B365" s="298"/>
      <c r="C365" s="298"/>
      <c r="D365" s="299"/>
    </row>
    <row r="366" spans="1:4" ht="25.2" x14ac:dyDescent="0.3">
      <c r="A366" s="52"/>
      <c r="B366" s="53"/>
      <c r="C366" s="53"/>
      <c r="D366" s="54"/>
    </row>
    <row r="367" spans="1:4" x14ac:dyDescent="0.3">
      <c r="A367" s="11" t="s">
        <v>1</v>
      </c>
      <c r="B367" s="3" t="s">
        <v>73</v>
      </c>
      <c r="C367" s="3"/>
      <c r="D367" s="12"/>
    </row>
    <row r="368" spans="1:4" x14ac:dyDescent="0.3">
      <c r="A368" s="11" t="s">
        <v>2</v>
      </c>
      <c r="B368" s="10" t="s">
        <v>77</v>
      </c>
      <c r="C368" s="4"/>
      <c r="D368" s="13"/>
    </row>
    <row r="369" spans="1:4" x14ac:dyDescent="0.3">
      <c r="A369" s="11" t="s">
        <v>3</v>
      </c>
      <c r="B369" s="3" t="s">
        <v>74</v>
      </c>
      <c r="C369" s="4"/>
      <c r="D369" s="14"/>
    </row>
    <row r="370" spans="1:4" x14ac:dyDescent="0.3">
      <c r="A370" s="11" t="s">
        <v>26</v>
      </c>
      <c r="B370" s="3" t="s">
        <v>134</v>
      </c>
      <c r="C370" s="4"/>
      <c r="D370" s="15"/>
    </row>
    <row r="371" spans="1:4" x14ac:dyDescent="0.3">
      <c r="A371" s="11" t="s">
        <v>99</v>
      </c>
      <c r="B371" s="55">
        <v>2022</v>
      </c>
      <c r="C371" s="4"/>
      <c r="D371" s="15"/>
    </row>
    <row r="372" spans="1:4" x14ac:dyDescent="0.3">
      <c r="A372" s="16"/>
      <c r="B372" s="5"/>
      <c r="C372" s="5"/>
      <c r="D372" s="17"/>
    </row>
    <row r="373" spans="1:4" x14ac:dyDescent="0.3">
      <c r="A373" s="39" t="s">
        <v>94</v>
      </c>
      <c r="B373" s="40"/>
      <c r="C373" s="41" t="s">
        <v>5</v>
      </c>
      <c r="D373" s="42" t="s">
        <v>6</v>
      </c>
    </row>
    <row r="374" spans="1:4" x14ac:dyDescent="0.3">
      <c r="A374" s="18"/>
      <c r="B374" s="6"/>
      <c r="C374" s="7"/>
      <c r="D374" s="19"/>
    </row>
    <row r="375" spans="1:4" x14ac:dyDescent="0.3">
      <c r="A375" s="26" t="s">
        <v>16</v>
      </c>
      <c r="B375" s="27"/>
      <c r="C375" s="28"/>
      <c r="D375" s="29"/>
    </row>
    <row r="376" spans="1:4" x14ac:dyDescent="0.3">
      <c r="A376" s="26" t="s">
        <v>104</v>
      </c>
      <c r="B376" s="27"/>
      <c r="C376" s="28"/>
      <c r="D376" s="29"/>
    </row>
    <row r="377" spans="1:4" x14ac:dyDescent="0.3">
      <c r="A377" s="26" t="s">
        <v>8</v>
      </c>
      <c r="B377" s="27"/>
      <c r="C377" s="28"/>
      <c r="D377" s="29"/>
    </row>
    <row r="378" spans="1:4" x14ac:dyDescent="0.3">
      <c r="A378" s="26" t="s">
        <v>9</v>
      </c>
      <c r="B378" s="27"/>
      <c r="C378" s="28">
        <f>(425/12)*12</f>
        <v>425</v>
      </c>
      <c r="D378" s="29"/>
    </row>
    <row r="379" spans="1:4" x14ac:dyDescent="0.3">
      <c r="A379" s="26"/>
      <c r="B379" s="27" t="s">
        <v>19</v>
      </c>
      <c r="C379" s="28"/>
      <c r="D379" s="29">
        <f>C375*9.45%</f>
        <v>0</v>
      </c>
    </row>
    <row r="380" spans="1:4" x14ac:dyDescent="0.3">
      <c r="A380" s="26"/>
      <c r="B380" s="27" t="s">
        <v>11</v>
      </c>
      <c r="C380" s="28"/>
      <c r="D380" s="29"/>
    </row>
    <row r="381" spans="1:4" x14ac:dyDescent="0.3">
      <c r="A381" s="26"/>
      <c r="B381" s="27" t="s">
        <v>55</v>
      </c>
      <c r="C381" s="28"/>
      <c r="D381" s="29"/>
    </row>
    <row r="382" spans="1:4" x14ac:dyDescent="0.3">
      <c r="A382" s="26"/>
      <c r="B382" s="27" t="s">
        <v>101</v>
      </c>
      <c r="C382" s="28"/>
      <c r="D382" s="29"/>
    </row>
    <row r="383" spans="1:4" x14ac:dyDescent="0.3">
      <c r="A383" s="26"/>
      <c r="B383" s="27" t="s">
        <v>18</v>
      </c>
      <c r="C383" s="28"/>
      <c r="D383" s="29"/>
    </row>
    <row r="384" spans="1:4" x14ac:dyDescent="0.3">
      <c r="A384" s="26"/>
      <c r="B384" s="27"/>
      <c r="C384" s="28"/>
      <c r="D384" s="29"/>
    </row>
    <row r="385" spans="1:4" x14ac:dyDescent="0.3">
      <c r="A385" s="21"/>
      <c r="B385" s="8"/>
      <c r="C385" s="1"/>
      <c r="D385" s="20"/>
    </row>
    <row r="386" spans="1:4" x14ac:dyDescent="0.3">
      <c r="A386" s="43"/>
      <c r="B386" s="44" t="s">
        <v>12</v>
      </c>
      <c r="C386" s="46">
        <f>SUM(C375:C385)</f>
        <v>425</v>
      </c>
      <c r="D386" s="50">
        <f>SUM(D375:D385)</f>
        <v>0</v>
      </c>
    </row>
    <row r="387" spans="1:4" x14ac:dyDescent="0.3">
      <c r="A387" s="21"/>
      <c r="B387" s="3"/>
      <c r="C387" s="3"/>
      <c r="D387" s="22"/>
    </row>
    <row r="388" spans="1:4" ht="28.2" x14ac:dyDescent="0.3">
      <c r="A388" s="21"/>
      <c r="B388" s="45"/>
      <c r="C388" s="47" t="s">
        <v>13</v>
      </c>
      <c r="D388" s="51">
        <f>+C386-D386</f>
        <v>425</v>
      </c>
    </row>
    <row r="389" spans="1:4" x14ac:dyDescent="0.3">
      <c r="A389" s="21"/>
      <c r="B389" s="3"/>
      <c r="C389" s="3"/>
      <c r="D389" s="22"/>
    </row>
    <row r="390" spans="1:4" x14ac:dyDescent="0.3">
      <c r="A390" s="23"/>
      <c r="B390" s="4" t="s">
        <v>14</v>
      </c>
      <c r="C390" s="2"/>
      <c r="D390" s="24"/>
    </row>
    <row r="391" spans="1:4" ht="15" thickBot="1" x14ac:dyDescent="0.35">
      <c r="A391" s="23"/>
      <c r="B391" s="9"/>
      <c r="C391" s="9"/>
      <c r="D391" s="24"/>
    </row>
    <row r="392" spans="1:4" x14ac:dyDescent="0.3">
      <c r="A392" s="300" t="s">
        <v>28</v>
      </c>
      <c r="B392" s="300" t="s">
        <v>93</v>
      </c>
      <c r="C392" s="302" t="s">
        <v>30</v>
      </c>
      <c r="D392" s="303"/>
    </row>
    <row r="393" spans="1:4" ht="15" thickBot="1" x14ac:dyDescent="0.35">
      <c r="A393" s="301"/>
      <c r="B393" s="301"/>
      <c r="C393" s="304"/>
      <c r="D393" s="30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7"/>
      <c r="B399" s="34"/>
      <c r="C399" s="32"/>
      <c r="D399" s="25"/>
    </row>
    <row r="400" spans="1:4" x14ac:dyDescent="0.3">
      <c r="A400" s="37"/>
      <c r="B400" s="34"/>
      <c r="C400" s="32"/>
      <c r="D400" s="25"/>
    </row>
    <row r="401" spans="1:4" x14ac:dyDescent="0.3">
      <c r="A401" s="37"/>
      <c r="B401" s="34"/>
      <c r="C401" s="32"/>
      <c r="D401" s="25"/>
    </row>
    <row r="402" spans="1:4" x14ac:dyDescent="0.3">
      <c r="A402" s="37"/>
      <c r="B402" s="34"/>
      <c r="C402" s="32"/>
      <c r="D402" s="25"/>
    </row>
    <row r="403" spans="1:4" x14ac:dyDescent="0.3">
      <c r="A403" s="37"/>
      <c r="B403" s="34"/>
      <c r="C403" s="32"/>
      <c r="D403" s="25"/>
    </row>
    <row r="404" spans="1:4" x14ac:dyDescent="0.3">
      <c r="A404" s="38" t="s">
        <v>20</v>
      </c>
      <c r="B404" s="35" t="s">
        <v>21</v>
      </c>
      <c r="C404" s="290" t="s">
        <v>75</v>
      </c>
      <c r="D404" s="291"/>
    </row>
    <row r="405" spans="1:4" ht="15" thickBot="1" x14ac:dyDescent="0.35">
      <c r="A405" s="36" t="s">
        <v>22</v>
      </c>
      <c r="B405" s="33" t="s">
        <v>23</v>
      </c>
      <c r="C405" s="292" t="s">
        <v>76</v>
      </c>
      <c r="D405" s="293"/>
    </row>
    <row r="409" spans="1:4" ht="15" thickBot="1" x14ac:dyDescent="0.35"/>
    <row r="410" spans="1:4" ht="25.2" x14ac:dyDescent="0.3">
      <c r="A410" s="294"/>
      <c r="B410" s="295"/>
      <c r="C410" s="295"/>
      <c r="D410" s="296"/>
    </row>
    <row r="411" spans="1:4" x14ac:dyDescent="0.3">
      <c r="A411" s="31"/>
      <c r="B411" s="48"/>
      <c r="C411" s="2"/>
      <c r="D411" s="30"/>
    </row>
    <row r="412" spans="1:4" x14ac:dyDescent="0.3">
      <c r="A412" s="31"/>
      <c r="B412" s="49"/>
      <c r="C412" s="2"/>
      <c r="D412" s="30"/>
    </row>
    <row r="413" spans="1:4" x14ac:dyDescent="0.3">
      <c r="A413" s="31"/>
      <c r="B413" s="49"/>
      <c r="C413" s="2"/>
      <c r="D413" s="30"/>
    </row>
    <row r="414" spans="1:4" ht="15" thickBot="1" x14ac:dyDescent="0.35">
      <c r="A414" s="31"/>
      <c r="B414" s="2"/>
      <c r="C414" s="2"/>
      <c r="D414" s="30"/>
    </row>
    <row r="415" spans="1:4" ht="25.8" thickBot="1" x14ac:dyDescent="0.35">
      <c r="A415" s="297" t="s">
        <v>0</v>
      </c>
      <c r="B415" s="298"/>
      <c r="C415" s="298"/>
      <c r="D415" s="299"/>
    </row>
    <row r="416" spans="1:4" ht="25.2" x14ac:dyDescent="0.3">
      <c r="A416" s="52"/>
      <c r="B416" s="53"/>
      <c r="C416" s="53"/>
      <c r="D416" s="54"/>
    </row>
    <row r="417" spans="1:4" x14ac:dyDescent="0.3">
      <c r="A417" s="11" t="s">
        <v>1</v>
      </c>
      <c r="B417" s="3" t="s">
        <v>73</v>
      </c>
      <c r="C417" s="3"/>
      <c r="D417" s="12"/>
    </row>
    <row r="418" spans="1:4" x14ac:dyDescent="0.3">
      <c r="A418" s="11" t="s">
        <v>2</v>
      </c>
      <c r="B418" s="10" t="s">
        <v>77</v>
      </c>
      <c r="C418" s="4"/>
      <c r="D418" s="13"/>
    </row>
    <row r="419" spans="1:4" x14ac:dyDescent="0.3">
      <c r="A419" s="11" t="s">
        <v>3</v>
      </c>
      <c r="B419" s="3" t="s">
        <v>74</v>
      </c>
      <c r="C419" s="4"/>
      <c r="D419" s="14"/>
    </row>
    <row r="420" spans="1:4" x14ac:dyDescent="0.3">
      <c r="A420" s="11" t="s">
        <v>26</v>
      </c>
      <c r="B420" s="3" t="s">
        <v>134</v>
      </c>
      <c r="C420" s="4"/>
      <c r="D420" s="15"/>
    </row>
    <row r="421" spans="1:4" x14ac:dyDescent="0.3">
      <c r="A421" s="11" t="s">
        <v>99</v>
      </c>
      <c r="B421" s="55">
        <v>2022</v>
      </c>
      <c r="C421" s="4"/>
      <c r="D421" s="15"/>
    </row>
    <row r="422" spans="1:4" x14ac:dyDescent="0.3">
      <c r="A422" s="16"/>
      <c r="B422" s="5"/>
      <c r="C422" s="5"/>
      <c r="D422" s="17"/>
    </row>
    <row r="423" spans="1:4" x14ac:dyDescent="0.3">
      <c r="A423" s="39" t="s">
        <v>94</v>
      </c>
      <c r="B423" s="40"/>
      <c r="C423" s="41" t="s">
        <v>5</v>
      </c>
      <c r="D423" s="42" t="s">
        <v>6</v>
      </c>
    </row>
    <row r="424" spans="1:4" x14ac:dyDescent="0.3">
      <c r="A424" s="18"/>
      <c r="B424" s="6"/>
      <c r="C424" s="7"/>
      <c r="D424" s="19"/>
    </row>
    <row r="425" spans="1:4" x14ac:dyDescent="0.3">
      <c r="A425" s="26" t="s">
        <v>16</v>
      </c>
      <c r="B425" s="27"/>
      <c r="C425" s="28">
        <v>708</v>
      </c>
      <c r="D425" s="29"/>
    </row>
    <row r="426" spans="1:4" x14ac:dyDescent="0.3">
      <c r="A426" s="26" t="s">
        <v>104</v>
      </c>
      <c r="B426" s="27"/>
      <c r="C426" s="28"/>
      <c r="D426" s="29"/>
    </row>
    <row r="427" spans="1:4" x14ac:dyDescent="0.3">
      <c r="A427" s="26" t="s">
        <v>8</v>
      </c>
      <c r="B427" s="27"/>
      <c r="C427" s="28"/>
      <c r="D427" s="29"/>
    </row>
    <row r="428" spans="1:4" x14ac:dyDescent="0.3">
      <c r="A428" s="26" t="s">
        <v>9</v>
      </c>
      <c r="B428" s="27"/>
      <c r="C428" s="28"/>
      <c r="D428" s="29"/>
    </row>
    <row r="429" spans="1:4" x14ac:dyDescent="0.3">
      <c r="A429" s="26"/>
      <c r="B429" s="27" t="s">
        <v>19</v>
      </c>
      <c r="C429" s="28"/>
      <c r="D429" s="29">
        <f>C425*9.45%</f>
        <v>66.905999999999992</v>
      </c>
    </row>
    <row r="430" spans="1:4" x14ac:dyDescent="0.3">
      <c r="A430" s="26"/>
      <c r="B430" s="27" t="s">
        <v>11</v>
      </c>
      <c r="C430" s="28"/>
      <c r="D430" s="29"/>
    </row>
    <row r="431" spans="1:4" x14ac:dyDescent="0.3">
      <c r="A431" s="26"/>
      <c r="B431" s="27" t="s">
        <v>55</v>
      </c>
      <c r="C431" s="28"/>
      <c r="D431" s="29"/>
    </row>
    <row r="432" spans="1:4" x14ac:dyDescent="0.3">
      <c r="A432" s="26"/>
      <c r="B432" s="27" t="s">
        <v>101</v>
      </c>
      <c r="C432" s="28"/>
      <c r="D432" s="29"/>
    </row>
    <row r="433" spans="1:4" x14ac:dyDescent="0.3">
      <c r="A433" s="26"/>
      <c r="B433" s="27" t="s">
        <v>18</v>
      </c>
      <c r="C433" s="28"/>
      <c r="D433" s="29"/>
    </row>
    <row r="434" spans="1:4" x14ac:dyDescent="0.3">
      <c r="A434" s="26"/>
      <c r="B434" s="27"/>
      <c r="C434" s="28"/>
      <c r="D434" s="29"/>
    </row>
    <row r="435" spans="1:4" x14ac:dyDescent="0.3">
      <c r="A435" s="21"/>
      <c r="B435" s="8"/>
      <c r="C435" s="1"/>
      <c r="D435" s="20"/>
    </row>
    <row r="436" spans="1:4" x14ac:dyDescent="0.3">
      <c r="A436" s="43"/>
      <c r="B436" s="44" t="s">
        <v>12</v>
      </c>
      <c r="C436" s="46">
        <f>SUM(C425:C435)</f>
        <v>708</v>
      </c>
      <c r="D436" s="50">
        <f>SUM(D425:D435)</f>
        <v>66.905999999999992</v>
      </c>
    </row>
    <row r="437" spans="1:4" x14ac:dyDescent="0.3">
      <c r="A437" s="21"/>
      <c r="B437" s="3"/>
      <c r="C437" s="3"/>
      <c r="D437" s="22"/>
    </row>
    <row r="438" spans="1:4" ht="28.2" x14ac:dyDescent="0.3">
      <c r="A438" s="21"/>
      <c r="B438" s="45"/>
      <c r="C438" s="47" t="s">
        <v>13</v>
      </c>
      <c r="D438" s="51">
        <f>+C436-D436</f>
        <v>641.09400000000005</v>
      </c>
    </row>
    <row r="439" spans="1:4" x14ac:dyDescent="0.3">
      <c r="A439" s="21"/>
      <c r="B439" s="3"/>
      <c r="C439" s="3"/>
      <c r="D439" s="22"/>
    </row>
    <row r="440" spans="1:4" x14ac:dyDescent="0.3">
      <c r="A440" s="23"/>
      <c r="B440" s="4" t="s">
        <v>14</v>
      </c>
      <c r="C440" s="2"/>
      <c r="D440" s="24"/>
    </row>
    <row r="441" spans="1:4" ht="15" thickBot="1" x14ac:dyDescent="0.35">
      <c r="A441" s="23"/>
      <c r="B441" s="9"/>
      <c r="C441" s="9"/>
      <c r="D441" s="24"/>
    </row>
    <row r="442" spans="1:4" x14ac:dyDescent="0.3">
      <c r="A442" s="300" t="s">
        <v>28</v>
      </c>
      <c r="B442" s="300" t="s">
        <v>93</v>
      </c>
      <c r="C442" s="302" t="s">
        <v>30</v>
      </c>
      <c r="D442" s="303"/>
    </row>
    <row r="443" spans="1:4" ht="15" thickBot="1" x14ac:dyDescent="0.35">
      <c r="A443" s="301"/>
      <c r="B443" s="301"/>
      <c r="C443" s="304"/>
      <c r="D443" s="30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7"/>
      <c r="B449" s="34"/>
      <c r="C449" s="32"/>
      <c r="D449" s="25"/>
    </row>
    <row r="450" spans="1:4" x14ac:dyDescent="0.3">
      <c r="A450" s="37"/>
      <c r="B450" s="34"/>
      <c r="C450" s="32"/>
      <c r="D450" s="25"/>
    </row>
    <row r="451" spans="1:4" x14ac:dyDescent="0.3">
      <c r="A451" s="37"/>
      <c r="B451" s="34"/>
      <c r="C451" s="32"/>
      <c r="D451" s="25"/>
    </row>
    <row r="452" spans="1:4" x14ac:dyDescent="0.3">
      <c r="A452" s="37"/>
      <c r="B452" s="34"/>
      <c r="C452" s="32"/>
      <c r="D452" s="25"/>
    </row>
    <row r="453" spans="1:4" x14ac:dyDescent="0.3">
      <c r="A453" s="37"/>
      <c r="B453" s="34"/>
      <c r="C453" s="32"/>
      <c r="D453" s="25"/>
    </row>
    <row r="454" spans="1:4" x14ac:dyDescent="0.3">
      <c r="A454" s="38" t="s">
        <v>20</v>
      </c>
      <c r="B454" s="35" t="s">
        <v>21</v>
      </c>
      <c r="C454" s="290" t="s">
        <v>75</v>
      </c>
      <c r="D454" s="291"/>
    </row>
    <row r="455" spans="1:4" ht="15" thickBot="1" x14ac:dyDescent="0.35">
      <c r="A455" s="36" t="s">
        <v>22</v>
      </c>
      <c r="B455" s="33" t="s">
        <v>23</v>
      </c>
      <c r="C455" s="292" t="s">
        <v>76</v>
      </c>
      <c r="D455" s="293"/>
    </row>
  </sheetData>
  <mergeCells count="63">
    <mergeCell ref="C454:D454"/>
    <mergeCell ref="C455:D455"/>
    <mergeCell ref="A410:D410"/>
    <mergeCell ref="A415:D415"/>
    <mergeCell ref="A442:A443"/>
    <mergeCell ref="B442:B443"/>
    <mergeCell ref="C442:D443"/>
    <mergeCell ref="C354:D354"/>
    <mergeCell ref="C355:D355"/>
    <mergeCell ref="A310:D310"/>
    <mergeCell ref="A315:D315"/>
    <mergeCell ref="A342:A343"/>
    <mergeCell ref="B342:B343"/>
    <mergeCell ref="C342:D343"/>
    <mergeCell ref="C304:D304"/>
    <mergeCell ref="C305:D305"/>
    <mergeCell ref="A260:D260"/>
    <mergeCell ref="A265:D265"/>
    <mergeCell ref="A292:A293"/>
    <mergeCell ref="B292:B293"/>
    <mergeCell ref="C292:D293"/>
    <mergeCell ref="C154:D154"/>
    <mergeCell ref="C155:D155"/>
    <mergeCell ref="A110:D110"/>
    <mergeCell ref="A115:D115"/>
    <mergeCell ref="A142:A143"/>
    <mergeCell ref="B142:B143"/>
    <mergeCell ref="C142:D143"/>
    <mergeCell ref="C99:D99"/>
    <mergeCell ref="C100:D100"/>
    <mergeCell ref="A55:D55"/>
    <mergeCell ref="A60:D60"/>
    <mergeCell ref="A87:A88"/>
    <mergeCell ref="B87:B88"/>
    <mergeCell ref="C87:D88"/>
    <mergeCell ref="C46:D46"/>
    <mergeCell ref="C47:D47"/>
    <mergeCell ref="A2:D2"/>
    <mergeCell ref="A7:D7"/>
    <mergeCell ref="A34:A35"/>
    <mergeCell ref="B34:B35"/>
    <mergeCell ref="C34:D35"/>
    <mergeCell ref="C204:D204"/>
    <mergeCell ref="C205:D205"/>
    <mergeCell ref="A160:D160"/>
    <mergeCell ref="A165:D165"/>
    <mergeCell ref="A192:A193"/>
    <mergeCell ref="B192:B193"/>
    <mergeCell ref="C192:D193"/>
    <mergeCell ref="C254:D254"/>
    <mergeCell ref="C255:D255"/>
    <mergeCell ref="A210:D210"/>
    <mergeCell ref="A215:D215"/>
    <mergeCell ref="A242:A243"/>
    <mergeCell ref="B242:B243"/>
    <mergeCell ref="C242:D243"/>
    <mergeCell ref="C404:D404"/>
    <mergeCell ref="C405:D405"/>
    <mergeCell ref="A360:D360"/>
    <mergeCell ref="A365:D365"/>
    <mergeCell ref="A392:A393"/>
    <mergeCell ref="B392:B393"/>
    <mergeCell ref="C392:D393"/>
  </mergeCells>
  <pageMargins left="0.70866141732283472" right="0.70866141732283472" top="0.74803149606299213" bottom="0.74803149606299213" header="0.31496062992125984" footer="0.31496062992125984"/>
  <pageSetup scale="80"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G450"/>
  <sheetViews>
    <sheetView topLeftCell="A150" zoomScale="90" zoomScaleNormal="90" workbookViewId="0">
      <selection activeCell="E414" sqref="E414"/>
    </sheetView>
  </sheetViews>
  <sheetFormatPr baseColWidth="10" defaultRowHeight="14.4" x14ac:dyDescent="0.3"/>
  <cols>
    <col min="1" max="1" width="36.33203125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78</v>
      </c>
      <c r="C9" s="3"/>
      <c r="D9" s="12"/>
    </row>
    <row r="10" spans="1:4" x14ac:dyDescent="0.3">
      <c r="A10" s="11" t="s">
        <v>2</v>
      </c>
      <c r="B10" s="10" t="s">
        <v>79</v>
      </c>
      <c r="C10" s="4"/>
      <c r="D10" s="13"/>
    </row>
    <row r="11" spans="1:4" x14ac:dyDescent="0.3">
      <c r="A11" s="11" t="s">
        <v>3</v>
      </c>
      <c r="B11" s="3" t="s">
        <v>103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7" x14ac:dyDescent="0.3">
      <c r="A17" s="26" t="s">
        <v>16</v>
      </c>
      <c r="B17" s="27"/>
      <c r="C17" s="28">
        <v>566</v>
      </c>
      <c r="D17" s="29"/>
      <c r="E17" s="60">
        <v>0.20599999999999999</v>
      </c>
      <c r="F17" s="60">
        <v>9.4500000000000001E-2</v>
      </c>
      <c r="G17" s="60">
        <f>E17-F17</f>
        <v>0.11149999999999999</v>
      </c>
    </row>
    <row r="18" spans="1:7" x14ac:dyDescent="0.3">
      <c r="A18" s="26" t="s">
        <v>104</v>
      </c>
      <c r="B18" s="27"/>
      <c r="C18" s="28"/>
      <c r="D18" s="29"/>
      <c r="E18" s="61">
        <f>C17</f>
        <v>566</v>
      </c>
      <c r="F18" s="57">
        <f>E18*F17</f>
        <v>53.487000000000002</v>
      </c>
      <c r="G18" s="57">
        <f>E18*G17</f>
        <v>63.108999999999995</v>
      </c>
    </row>
    <row r="19" spans="1:7" x14ac:dyDescent="0.3">
      <c r="A19" s="26" t="s">
        <v>8</v>
      </c>
      <c r="B19" s="27"/>
      <c r="C19" s="28"/>
      <c r="D19" s="29"/>
    </row>
    <row r="20" spans="1:7" x14ac:dyDescent="0.3">
      <c r="A20" s="26" t="s">
        <v>9</v>
      </c>
      <c r="B20" s="27"/>
      <c r="C20" s="28"/>
      <c r="D20" s="29"/>
    </row>
    <row r="21" spans="1:7" x14ac:dyDescent="0.3">
      <c r="A21" s="26"/>
      <c r="B21" s="27" t="s">
        <v>19</v>
      </c>
      <c r="C21" s="28"/>
      <c r="D21" s="29">
        <f>C17*9.45%</f>
        <v>53.486999999999995</v>
      </c>
    </row>
    <row r="22" spans="1:7" x14ac:dyDescent="0.3">
      <c r="A22" s="26"/>
      <c r="B22" s="27" t="s">
        <v>11</v>
      </c>
      <c r="C22" s="28"/>
      <c r="D22" s="29">
        <v>62.55</v>
      </c>
    </row>
    <row r="23" spans="1:7" x14ac:dyDescent="0.3">
      <c r="A23" s="26"/>
      <c r="B23" s="27" t="s">
        <v>55</v>
      </c>
      <c r="C23" s="28"/>
      <c r="D23" s="29"/>
    </row>
    <row r="24" spans="1:7" x14ac:dyDescent="0.3">
      <c r="A24" s="26"/>
      <c r="B24" s="27" t="s">
        <v>101</v>
      </c>
      <c r="C24" s="28"/>
      <c r="D24" s="29"/>
    </row>
    <row r="25" spans="1:7" x14ac:dyDescent="0.3">
      <c r="A25" s="26"/>
      <c r="B25" s="27" t="s">
        <v>18</v>
      </c>
      <c r="C25" s="28"/>
      <c r="D25" s="29"/>
    </row>
    <row r="26" spans="1:7" x14ac:dyDescent="0.3">
      <c r="A26" s="26"/>
      <c r="B26" s="27"/>
      <c r="C26" s="28"/>
      <c r="D26" s="29"/>
    </row>
    <row r="27" spans="1:7" x14ac:dyDescent="0.3">
      <c r="A27" s="21"/>
      <c r="B27" s="8"/>
      <c r="C27" s="1"/>
      <c r="D27" s="20"/>
    </row>
    <row r="28" spans="1:7" x14ac:dyDescent="0.3">
      <c r="A28" s="43"/>
      <c r="B28" s="44" t="s">
        <v>12</v>
      </c>
      <c r="C28" s="46">
        <f>SUM(C17:C27)</f>
        <v>566</v>
      </c>
      <c r="D28" s="50">
        <f>SUM(D17:D27)</f>
        <v>116.03699999999999</v>
      </c>
    </row>
    <row r="29" spans="1:7" x14ac:dyDescent="0.3">
      <c r="A29" s="21"/>
      <c r="B29" s="3"/>
      <c r="C29" s="3"/>
      <c r="D29" s="22"/>
    </row>
    <row r="30" spans="1:7" ht="28.2" x14ac:dyDescent="0.3">
      <c r="A30" s="21"/>
      <c r="B30" s="45"/>
      <c r="C30" s="47" t="s">
        <v>13</v>
      </c>
      <c r="D30" s="51">
        <f>+C28-D28</f>
        <v>449.96300000000002</v>
      </c>
    </row>
    <row r="31" spans="1:7" x14ac:dyDescent="0.3">
      <c r="A31" s="21"/>
      <c r="B31" s="3"/>
      <c r="C31" s="3"/>
      <c r="D31" s="22"/>
    </row>
    <row r="32" spans="1:7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80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81</v>
      </c>
      <c r="D47" s="293"/>
    </row>
    <row r="54" spans="1:4" ht="15" thickBot="1" x14ac:dyDescent="0.35"/>
    <row r="55" spans="1:4" ht="25.2" x14ac:dyDescent="0.3">
      <c r="A55" s="294"/>
      <c r="B55" s="295"/>
      <c r="C55" s="295"/>
      <c r="D55" s="296"/>
    </row>
    <row r="56" spans="1:4" x14ac:dyDescent="0.3">
      <c r="A56" s="31"/>
      <c r="B56" s="48"/>
      <c r="C56" s="2"/>
      <c r="D56" s="30"/>
    </row>
    <row r="57" spans="1:4" x14ac:dyDescent="0.3">
      <c r="A57" s="31"/>
      <c r="B57" s="49"/>
      <c r="C57" s="2"/>
      <c r="D57" s="30"/>
    </row>
    <row r="58" spans="1:4" x14ac:dyDescent="0.3">
      <c r="A58" s="31"/>
      <c r="B58" s="49"/>
      <c r="C58" s="2"/>
      <c r="D58" s="30"/>
    </row>
    <row r="59" spans="1:4" ht="15" thickBot="1" x14ac:dyDescent="0.35">
      <c r="A59" s="31"/>
      <c r="B59" s="2"/>
      <c r="C59" s="2"/>
      <c r="D59" s="30"/>
    </row>
    <row r="60" spans="1:4" ht="25.8" thickBot="1" x14ac:dyDescent="0.35">
      <c r="A60" s="297" t="s">
        <v>0</v>
      </c>
      <c r="B60" s="298"/>
      <c r="C60" s="298"/>
      <c r="D60" s="299"/>
    </row>
    <row r="61" spans="1:4" ht="25.2" x14ac:dyDescent="0.3">
      <c r="A61" s="52"/>
      <c r="B61" s="53"/>
      <c r="C61" s="53"/>
      <c r="D61" s="54"/>
    </row>
    <row r="62" spans="1:4" x14ac:dyDescent="0.3">
      <c r="A62" s="11" t="s">
        <v>1</v>
      </c>
      <c r="B62" s="3" t="s">
        <v>78</v>
      </c>
      <c r="C62" s="3"/>
      <c r="D62" s="12"/>
    </row>
    <row r="63" spans="1:4" x14ac:dyDescent="0.3">
      <c r="A63" s="11" t="s">
        <v>2</v>
      </c>
      <c r="B63" s="10" t="s">
        <v>79</v>
      </c>
      <c r="C63" s="4"/>
      <c r="D63" s="13"/>
    </row>
    <row r="64" spans="1:4" x14ac:dyDescent="0.3">
      <c r="A64" s="11" t="s">
        <v>3</v>
      </c>
      <c r="B64" s="3" t="s">
        <v>103</v>
      </c>
      <c r="C64" s="4"/>
      <c r="D64" s="14"/>
    </row>
    <row r="65" spans="1:4" x14ac:dyDescent="0.3">
      <c r="A65" s="11" t="s">
        <v>26</v>
      </c>
      <c r="B65" s="3" t="s">
        <v>116</v>
      </c>
      <c r="C65" s="4"/>
      <c r="D65" s="15"/>
    </row>
    <row r="66" spans="1:4" x14ac:dyDescent="0.3">
      <c r="A66" s="11" t="s">
        <v>99</v>
      </c>
      <c r="B66" s="55">
        <v>2022</v>
      </c>
      <c r="C66" s="4"/>
      <c r="D66" s="15"/>
    </row>
    <row r="67" spans="1:4" x14ac:dyDescent="0.3">
      <c r="A67" s="16"/>
      <c r="B67" s="5"/>
      <c r="C67" s="5"/>
      <c r="D67" s="17"/>
    </row>
    <row r="68" spans="1:4" x14ac:dyDescent="0.3">
      <c r="A68" s="39" t="s">
        <v>94</v>
      </c>
      <c r="B68" s="40"/>
      <c r="C68" s="41" t="s">
        <v>5</v>
      </c>
      <c r="D68" s="42" t="s">
        <v>6</v>
      </c>
    </row>
    <row r="69" spans="1:4" x14ac:dyDescent="0.3">
      <c r="A69" s="18"/>
      <c r="B69" s="6"/>
      <c r="C69" s="7"/>
      <c r="D69" s="19"/>
    </row>
    <row r="70" spans="1:4" x14ac:dyDescent="0.3">
      <c r="A70" s="26" t="s">
        <v>16</v>
      </c>
      <c r="B70" s="27"/>
      <c r="C70" s="28">
        <v>566</v>
      </c>
      <c r="D70" s="29"/>
    </row>
    <row r="71" spans="1:4" x14ac:dyDescent="0.3">
      <c r="A71" s="26" t="s">
        <v>104</v>
      </c>
      <c r="B71" s="27"/>
      <c r="C71" s="28"/>
      <c r="D71" s="29"/>
    </row>
    <row r="72" spans="1:4" x14ac:dyDescent="0.3">
      <c r="A72" s="26" t="s">
        <v>8</v>
      </c>
      <c r="B72" s="27"/>
      <c r="C72" s="28"/>
      <c r="D72" s="29"/>
    </row>
    <row r="73" spans="1:4" x14ac:dyDescent="0.3">
      <c r="A73" s="26" t="s">
        <v>9</v>
      </c>
      <c r="B73" s="27"/>
      <c r="C73" s="28"/>
      <c r="D73" s="29"/>
    </row>
    <row r="74" spans="1:4" x14ac:dyDescent="0.3">
      <c r="A74" s="26"/>
      <c r="B74" s="27" t="s">
        <v>19</v>
      </c>
      <c r="C74" s="28"/>
      <c r="D74" s="29">
        <f>C70*9.45%</f>
        <v>53.486999999999995</v>
      </c>
    </row>
    <row r="75" spans="1:4" x14ac:dyDescent="0.3">
      <c r="A75" s="26"/>
      <c r="B75" s="27" t="s">
        <v>11</v>
      </c>
      <c r="C75" s="28"/>
      <c r="D75" s="29">
        <v>62.12</v>
      </c>
    </row>
    <row r="76" spans="1:4" x14ac:dyDescent="0.3">
      <c r="A76" s="26"/>
      <c r="B76" s="27" t="s">
        <v>55</v>
      </c>
      <c r="C76" s="28"/>
      <c r="D76" s="29">
        <v>283</v>
      </c>
    </row>
    <row r="77" spans="1:4" x14ac:dyDescent="0.3">
      <c r="A77" s="26"/>
      <c r="B77" s="27" t="s">
        <v>101</v>
      </c>
      <c r="C77" s="28"/>
      <c r="D77" s="29"/>
    </row>
    <row r="78" spans="1:4" x14ac:dyDescent="0.3">
      <c r="A78" s="26"/>
      <c r="B78" s="27" t="s">
        <v>18</v>
      </c>
      <c r="C78" s="28"/>
      <c r="D78" s="29"/>
    </row>
    <row r="79" spans="1:4" x14ac:dyDescent="0.3">
      <c r="A79" s="26"/>
      <c r="B79" s="27"/>
      <c r="C79" s="28"/>
      <c r="D79" s="29"/>
    </row>
    <row r="80" spans="1:4" x14ac:dyDescent="0.3">
      <c r="A80" s="21"/>
      <c r="B80" s="8"/>
      <c r="C80" s="1"/>
      <c r="D80" s="20"/>
    </row>
    <row r="81" spans="1:4" x14ac:dyDescent="0.3">
      <c r="A81" s="43"/>
      <c r="B81" s="44" t="s">
        <v>12</v>
      </c>
      <c r="C81" s="46">
        <f>SUM(C70:C80)</f>
        <v>566</v>
      </c>
      <c r="D81" s="50">
        <f>SUM(D70:D80)</f>
        <v>398.60699999999997</v>
      </c>
    </row>
    <row r="82" spans="1:4" x14ac:dyDescent="0.3">
      <c r="A82" s="21"/>
      <c r="B82" s="3"/>
      <c r="C82" s="3"/>
      <c r="D82" s="22"/>
    </row>
    <row r="83" spans="1:4" ht="28.2" x14ac:dyDescent="0.3">
      <c r="A83" s="21"/>
      <c r="B83" s="45"/>
      <c r="C83" s="47" t="s">
        <v>13</v>
      </c>
      <c r="D83" s="51">
        <f>+C81-D81</f>
        <v>167.39300000000003</v>
      </c>
    </row>
    <row r="84" spans="1:4" x14ac:dyDescent="0.3">
      <c r="A84" s="21"/>
      <c r="B84" s="3"/>
      <c r="C84" s="3"/>
      <c r="D84" s="22"/>
    </row>
    <row r="85" spans="1:4" x14ac:dyDescent="0.3">
      <c r="A85" s="23"/>
      <c r="B85" s="4" t="s">
        <v>14</v>
      </c>
      <c r="C85" s="2"/>
      <c r="D85" s="24"/>
    </row>
    <row r="86" spans="1:4" ht="15" thickBot="1" x14ac:dyDescent="0.35">
      <c r="A86" s="23"/>
      <c r="B86" s="9"/>
      <c r="C86" s="9"/>
      <c r="D86" s="24"/>
    </row>
    <row r="87" spans="1:4" x14ac:dyDescent="0.3">
      <c r="A87" s="300" t="s">
        <v>28</v>
      </c>
      <c r="B87" s="300" t="s">
        <v>93</v>
      </c>
      <c r="C87" s="302" t="s">
        <v>30</v>
      </c>
      <c r="D87" s="303"/>
    </row>
    <row r="88" spans="1:4" ht="15" thickBot="1" x14ac:dyDescent="0.35">
      <c r="A88" s="301"/>
      <c r="B88" s="301"/>
      <c r="C88" s="304"/>
      <c r="D88" s="30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7"/>
      <c r="B98" s="34"/>
      <c r="C98" s="32"/>
      <c r="D98" s="25"/>
    </row>
    <row r="99" spans="1:4" x14ac:dyDescent="0.3">
      <c r="A99" s="38" t="s">
        <v>20</v>
      </c>
      <c r="B99" s="35" t="s">
        <v>21</v>
      </c>
      <c r="C99" s="290" t="s">
        <v>80</v>
      </c>
      <c r="D99" s="291"/>
    </row>
    <row r="100" spans="1:4" ht="15" thickBot="1" x14ac:dyDescent="0.35">
      <c r="A100" s="36" t="s">
        <v>22</v>
      </c>
      <c r="B100" s="33" t="s">
        <v>23</v>
      </c>
      <c r="C100" s="292" t="s">
        <v>81</v>
      </c>
      <c r="D100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78</v>
      </c>
      <c r="C112" s="3"/>
      <c r="D112" s="12"/>
    </row>
    <row r="113" spans="1:4" x14ac:dyDescent="0.3">
      <c r="A113" s="11" t="s">
        <v>2</v>
      </c>
      <c r="B113" s="10" t="s">
        <v>79</v>
      </c>
      <c r="C113" s="4"/>
      <c r="D113" s="13"/>
    </row>
    <row r="114" spans="1:4" x14ac:dyDescent="0.3">
      <c r="A114" s="11" t="s">
        <v>3</v>
      </c>
      <c r="B114" s="3" t="s">
        <v>103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566</v>
      </c>
      <c r="D120" s="29"/>
    </row>
    <row r="121" spans="1:4" x14ac:dyDescent="0.3">
      <c r="A121" s="26" t="s">
        <v>104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19</v>
      </c>
      <c r="C124" s="28"/>
      <c r="D124" s="29">
        <f>C120*9.45%</f>
        <v>53.486999999999995</v>
      </c>
    </row>
    <row r="125" spans="1:4" x14ac:dyDescent="0.3">
      <c r="A125" s="26"/>
      <c r="B125" s="27" t="s">
        <v>11</v>
      </c>
      <c r="C125" s="28"/>
      <c r="D125" s="29">
        <v>61.7</v>
      </c>
    </row>
    <row r="126" spans="1:4" x14ac:dyDescent="0.3">
      <c r="A126" s="26"/>
      <c r="B126" s="27" t="s">
        <v>55</v>
      </c>
      <c r="C126" s="28"/>
      <c r="D126" s="29">
        <v>283.01</v>
      </c>
    </row>
    <row r="127" spans="1:4" x14ac:dyDescent="0.3">
      <c r="A127" s="26"/>
      <c r="B127" s="27" t="s">
        <v>101</v>
      </c>
      <c r="C127" s="28"/>
      <c r="D127" s="29"/>
    </row>
    <row r="128" spans="1:4" x14ac:dyDescent="0.3">
      <c r="A128" s="26"/>
      <c r="B128" s="27" t="s">
        <v>18</v>
      </c>
      <c r="C128" s="28"/>
      <c r="D128" s="29"/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566</v>
      </c>
      <c r="D131" s="50">
        <f>SUM(D120:D130)</f>
        <v>398.197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167.803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93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8" t="s">
        <v>20</v>
      </c>
      <c r="B149" s="35" t="s">
        <v>21</v>
      </c>
      <c r="C149" s="290" t="s">
        <v>80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81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78</v>
      </c>
      <c r="C162" s="3"/>
      <c r="D162" s="12"/>
    </row>
    <row r="163" spans="1:4" x14ac:dyDescent="0.3">
      <c r="A163" s="11" t="s">
        <v>2</v>
      </c>
      <c r="B163" s="10" t="s">
        <v>79</v>
      </c>
      <c r="C163" s="4"/>
      <c r="D163" s="13"/>
    </row>
    <row r="164" spans="1:4" x14ac:dyDescent="0.3">
      <c r="A164" s="11" t="s">
        <v>3</v>
      </c>
      <c r="B164" s="3" t="s">
        <v>103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566</v>
      </c>
      <c r="D170" s="29"/>
    </row>
    <row r="171" spans="1:4" x14ac:dyDescent="0.3">
      <c r="A171" s="26" t="s">
        <v>104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19</v>
      </c>
      <c r="C174" s="28"/>
      <c r="D174" s="29">
        <f>C170*9.45%</f>
        <v>53.486999999999995</v>
      </c>
    </row>
    <row r="175" spans="1:4" x14ac:dyDescent="0.3">
      <c r="A175" s="26"/>
      <c r="B175" s="27" t="s">
        <v>11</v>
      </c>
      <c r="C175" s="28"/>
      <c r="D175" s="29">
        <v>61.27</v>
      </c>
    </row>
    <row r="176" spans="1:4" x14ac:dyDescent="0.3">
      <c r="A176" s="26"/>
      <c r="B176" s="27" t="s">
        <v>55</v>
      </c>
      <c r="C176" s="28"/>
      <c r="D176" s="29"/>
    </row>
    <row r="177" spans="1:4" x14ac:dyDescent="0.3">
      <c r="A177" s="26"/>
      <c r="B177" s="27" t="s">
        <v>101</v>
      </c>
      <c r="C177" s="28"/>
      <c r="D177" s="29"/>
    </row>
    <row r="178" spans="1:4" x14ac:dyDescent="0.3">
      <c r="A178" s="26"/>
      <c r="B178" s="27" t="s">
        <v>18</v>
      </c>
      <c r="C178" s="28"/>
      <c r="D178" s="29"/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566</v>
      </c>
      <c r="D181" s="50">
        <f>SUM(D170:D180)</f>
        <v>114.75700000000001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451.24299999999999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93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80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81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78</v>
      </c>
      <c r="C212" s="3"/>
      <c r="D212" s="12"/>
    </row>
    <row r="213" spans="1:4" x14ac:dyDescent="0.3">
      <c r="A213" s="11" t="s">
        <v>2</v>
      </c>
      <c r="B213" s="10" t="s">
        <v>79</v>
      </c>
      <c r="C213" s="4"/>
      <c r="D213" s="13"/>
    </row>
    <row r="214" spans="1:4" x14ac:dyDescent="0.3">
      <c r="A214" s="11" t="s">
        <v>3</v>
      </c>
      <c r="B214" s="3" t="s">
        <v>103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566</v>
      </c>
      <c r="D220" s="29"/>
    </row>
    <row r="221" spans="1:4" x14ac:dyDescent="0.3">
      <c r="A221" s="26" t="s">
        <v>104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19</v>
      </c>
      <c r="C224" s="28"/>
      <c r="D224" s="29">
        <f>C220*9.45%</f>
        <v>53.486999999999995</v>
      </c>
    </row>
    <row r="225" spans="1:4" x14ac:dyDescent="0.3">
      <c r="A225" s="26"/>
      <c r="B225" s="27" t="s">
        <v>11</v>
      </c>
      <c r="C225" s="28"/>
      <c r="D225" s="29">
        <v>60.85</v>
      </c>
    </row>
    <row r="226" spans="1:4" x14ac:dyDescent="0.3">
      <c r="A226" s="26"/>
      <c r="B226" s="27" t="s">
        <v>55</v>
      </c>
      <c r="C226" s="28"/>
      <c r="D226" s="29">
        <v>283</v>
      </c>
    </row>
    <row r="227" spans="1:4" x14ac:dyDescent="0.3">
      <c r="A227" s="26"/>
      <c r="B227" s="27" t="s">
        <v>101</v>
      </c>
      <c r="C227" s="28"/>
      <c r="D227" s="29"/>
    </row>
    <row r="228" spans="1:4" x14ac:dyDescent="0.3">
      <c r="A228" s="26"/>
      <c r="B228" s="27" t="s">
        <v>18</v>
      </c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566</v>
      </c>
      <c r="D231" s="50">
        <f>SUM(D220:D230)</f>
        <v>397.33699999999999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168.66300000000001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93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80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81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78</v>
      </c>
      <c r="C262" s="3"/>
      <c r="D262" s="12"/>
    </row>
    <row r="263" spans="1:4" x14ac:dyDescent="0.3">
      <c r="A263" s="11" t="s">
        <v>2</v>
      </c>
      <c r="B263" s="10" t="s">
        <v>79</v>
      </c>
      <c r="C263" s="4"/>
      <c r="D263" s="13"/>
    </row>
    <row r="264" spans="1:4" x14ac:dyDescent="0.3">
      <c r="A264" s="11" t="s">
        <v>3</v>
      </c>
      <c r="B264" s="3" t="s">
        <v>103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566</v>
      </c>
      <c r="D270" s="29"/>
    </row>
    <row r="271" spans="1:4" x14ac:dyDescent="0.3">
      <c r="A271" s="26" t="s">
        <v>104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19</v>
      </c>
      <c r="C274" s="28"/>
      <c r="D274" s="29">
        <f>C270*9.45%</f>
        <v>53.486999999999995</v>
      </c>
    </row>
    <row r="275" spans="1:4" x14ac:dyDescent="0.3">
      <c r="A275" s="26"/>
      <c r="B275" s="27" t="s">
        <v>11</v>
      </c>
      <c r="C275" s="28"/>
      <c r="D275" s="29">
        <v>60.42</v>
      </c>
    </row>
    <row r="276" spans="1:4" x14ac:dyDescent="0.3">
      <c r="A276" s="26"/>
      <c r="B276" s="27" t="s">
        <v>55</v>
      </c>
      <c r="C276" s="28"/>
      <c r="D276" s="29">
        <v>283</v>
      </c>
    </row>
    <row r="277" spans="1:4" x14ac:dyDescent="0.3">
      <c r="A277" s="26"/>
      <c r="B277" s="27" t="s">
        <v>101</v>
      </c>
      <c r="C277" s="28"/>
      <c r="D277" s="29"/>
    </row>
    <row r="278" spans="1:4" x14ac:dyDescent="0.3">
      <c r="A278" s="26"/>
      <c r="B278" s="27" t="s">
        <v>18</v>
      </c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566</v>
      </c>
      <c r="D281" s="50">
        <f>SUM(D270:D280)</f>
        <v>396.90699999999998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169.09300000000002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93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80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81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78</v>
      </c>
      <c r="C312" s="3"/>
      <c r="D312" s="12"/>
    </row>
    <row r="313" spans="1:4" x14ac:dyDescent="0.3">
      <c r="A313" s="11" t="s">
        <v>2</v>
      </c>
      <c r="B313" s="10" t="s">
        <v>79</v>
      </c>
      <c r="C313" s="4"/>
      <c r="D313" s="13"/>
    </row>
    <row r="314" spans="1:4" x14ac:dyDescent="0.3">
      <c r="A314" s="11" t="s">
        <v>3</v>
      </c>
      <c r="B314" s="3" t="s">
        <v>103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566</v>
      </c>
      <c r="D320" s="29"/>
    </row>
    <row r="321" spans="1:4" x14ac:dyDescent="0.3">
      <c r="A321" s="26" t="s">
        <v>104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19</v>
      </c>
      <c r="C324" s="28"/>
      <c r="D324" s="29">
        <f>C320*9.45%</f>
        <v>53.486999999999995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55</v>
      </c>
      <c r="C326" s="28"/>
      <c r="D326" s="29">
        <v>283</v>
      </c>
    </row>
    <row r="327" spans="1:4" x14ac:dyDescent="0.3">
      <c r="A327" s="26"/>
      <c r="B327" s="27" t="s">
        <v>101</v>
      </c>
      <c r="C327" s="28"/>
      <c r="D327" s="29"/>
    </row>
    <row r="328" spans="1:4" x14ac:dyDescent="0.3">
      <c r="A328" s="26"/>
      <c r="B328" s="27" t="s">
        <v>18</v>
      </c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566</v>
      </c>
      <c r="D331" s="50">
        <f>SUM(D320:D330)</f>
        <v>336.48699999999997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229.51300000000003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93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80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81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78</v>
      </c>
      <c r="C362" s="3"/>
      <c r="D362" s="12"/>
    </row>
    <row r="363" spans="1:4" x14ac:dyDescent="0.3">
      <c r="A363" s="11" t="s">
        <v>2</v>
      </c>
      <c r="B363" s="10" t="s">
        <v>79</v>
      </c>
      <c r="C363" s="4"/>
      <c r="D363" s="13"/>
    </row>
    <row r="364" spans="1:4" x14ac:dyDescent="0.3">
      <c r="A364" s="11" t="s">
        <v>3</v>
      </c>
      <c r="B364" s="3" t="s">
        <v>103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x14ac:dyDescent="0.3">
      <c r="A371" s="26" t="s">
        <v>104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19</v>
      </c>
      <c r="C374" s="28"/>
      <c r="D374" s="29">
        <f>C370*9.45%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101</v>
      </c>
      <c r="C377" s="28"/>
      <c r="D377" s="29"/>
    </row>
    <row r="378" spans="1:4" x14ac:dyDescent="0.3">
      <c r="A378" s="26"/>
      <c r="B378" s="27" t="s">
        <v>18</v>
      </c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425</v>
      </c>
      <c r="D381" s="50">
        <f>SUM(D370:D380)</f>
        <v>0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425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93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80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81</v>
      </c>
      <c r="D400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78</v>
      </c>
      <c r="C412" s="3"/>
      <c r="D412" s="12"/>
    </row>
    <row r="413" spans="1:4" x14ac:dyDescent="0.3">
      <c r="A413" s="11" t="s">
        <v>2</v>
      </c>
      <c r="B413" s="10" t="s">
        <v>79</v>
      </c>
      <c r="C413" s="4"/>
      <c r="D413" s="13"/>
    </row>
    <row r="414" spans="1:4" x14ac:dyDescent="0.3">
      <c r="A414" s="11" t="s">
        <v>3</v>
      </c>
      <c r="B414" s="3" t="s">
        <v>103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566</v>
      </c>
      <c r="D420" s="29"/>
    </row>
    <row r="421" spans="1:4" x14ac:dyDescent="0.3">
      <c r="A421" s="26" t="s">
        <v>104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19</v>
      </c>
      <c r="C424" s="28"/>
      <c r="D424" s="29">
        <f>C420*9.45%</f>
        <v>53.486999999999995</v>
      </c>
    </row>
    <row r="425" spans="1:4" x14ac:dyDescent="0.3">
      <c r="A425" s="26"/>
      <c r="B425" s="27" t="s">
        <v>11</v>
      </c>
      <c r="C425" s="28"/>
      <c r="D425" s="29">
        <v>59.4</v>
      </c>
    </row>
    <row r="426" spans="1:4" x14ac:dyDescent="0.3">
      <c r="A426" s="26"/>
      <c r="B426" s="27" t="s">
        <v>55</v>
      </c>
      <c r="C426" s="28"/>
      <c r="D426" s="29">
        <v>283</v>
      </c>
    </row>
    <row r="427" spans="1:4" x14ac:dyDescent="0.3">
      <c r="A427" s="26"/>
      <c r="B427" s="27" t="s">
        <v>101</v>
      </c>
      <c r="C427" s="28"/>
      <c r="D427" s="29"/>
    </row>
    <row r="428" spans="1:4" x14ac:dyDescent="0.3">
      <c r="A428" s="26"/>
      <c r="B428" s="27" t="s">
        <v>18</v>
      </c>
      <c r="C428" s="28"/>
      <c r="D428" s="29"/>
    </row>
    <row r="429" spans="1:4" x14ac:dyDescent="0.3">
      <c r="A429" s="26"/>
      <c r="B429" s="27"/>
      <c r="C429" s="28"/>
      <c r="D429" s="29"/>
    </row>
    <row r="430" spans="1:4" x14ac:dyDescent="0.3">
      <c r="A430" s="21"/>
      <c r="B430" s="8"/>
      <c r="C430" s="1"/>
      <c r="D430" s="20"/>
    </row>
    <row r="431" spans="1:4" x14ac:dyDescent="0.3">
      <c r="A431" s="43"/>
      <c r="B431" s="44" t="s">
        <v>12</v>
      </c>
      <c r="C431" s="46">
        <f>SUM(C420:C430)</f>
        <v>566</v>
      </c>
      <c r="D431" s="50">
        <f>SUM(D420:D430)</f>
        <v>395.887</v>
      </c>
    </row>
    <row r="432" spans="1:4" x14ac:dyDescent="0.3">
      <c r="A432" s="21"/>
      <c r="B432" s="3"/>
      <c r="C432" s="3"/>
      <c r="D432" s="22"/>
    </row>
    <row r="433" spans="1:4" ht="28.2" x14ac:dyDescent="0.3">
      <c r="A433" s="21"/>
      <c r="B433" s="45"/>
      <c r="C433" s="47" t="s">
        <v>13</v>
      </c>
      <c r="D433" s="51">
        <f>+C431-D431</f>
        <v>170.113</v>
      </c>
    </row>
    <row r="434" spans="1:4" x14ac:dyDescent="0.3">
      <c r="A434" s="21"/>
      <c r="B434" s="3"/>
      <c r="C434" s="3"/>
      <c r="D434" s="22"/>
    </row>
    <row r="435" spans="1:4" x14ac:dyDescent="0.3">
      <c r="A435" s="23"/>
      <c r="B435" s="4" t="s">
        <v>14</v>
      </c>
      <c r="C435" s="2"/>
      <c r="D435" s="24"/>
    </row>
    <row r="436" spans="1:4" ht="15" thickBot="1" x14ac:dyDescent="0.35">
      <c r="A436" s="23"/>
      <c r="B436" s="9"/>
      <c r="C436" s="9"/>
      <c r="D436" s="24"/>
    </row>
    <row r="437" spans="1:4" x14ac:dyDescent="0.3">
      <c r="A437" s="300" t="s">
        <v>28</v>
      </c>
      <c r="B437" s="300" t="s">
        <v>93</v>
      </c>
      <c r="C437" s="302" t="s">
        <v>30</v>
      </c>
      <c r="D437" s="303"/>
    </row>
    <row r="438" spans="1:4" ht="15" thickBot="1" x14ac:dyDescent="0.35">
      <c r="A438" s="301"/>
      <c r="B438" s="301"/>
      <c r="C438" s="304"/>
      <c r="D438" s="30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8" t="s">
        <v>20</v>
      </c>
      <c r="B449" s="35" t="s">
        <v>21</v>
      </c>
      <c r="C449" s="290" t="s">
        <v>80</v>
      </c>
      <c r="D449" s="291"/>
    </row>
    <row r="450" spans="1:4" ht="15" thickBot="1" x14ac:dyDescent="0.35">
      <c r="A450" s="36" t="s">
        <v>22</v>
      </c>
      <c r="B450" s="33" t="s">
        <v>23</v>
      </c>
      <c r="C450" s="292" t="s">
        <v>81</v>
      </c>
      <c r="D450" s="293"/>
    </row>
  </sheetData>
  <mergeCells count="63">
    <mergeCell ref="C449:D449"/>
    <mergeCell ref="C450:D450"/>
    <mergeCell ref="A405:D405"/>
    <mergeCell ref="A410:D410"/>
    <mergeCell ref="A437:A438"/>
    <mergeCell ref="B437:B438"/>
    <mergeCell ref="C437:D438"/>
    <mergeCell ref="C349:D349"/>
    <mergeCell ref="C350:D350"/>
    <mergeCell ref="A305:D305"/>
    <mergeCell ref="A310:D310"/>
    <mergeCell ref="A337:A338"/>
    <mergeCell ref="B337:B338"/>
    <mergeCell ref="C337:D33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9:D99"/>
    <mergeCell ref="C100:D100"/>
    <mergeCell ref="A55:D55"/>
    <mergeCell ref="A60:D60"/>
    <mergeCell ref="A87:A88"/>
    <mergeCell ref="B87:B88"/>
    <mergeCell ref="C87:D88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99:D399"/>
    <mergeCell ref="C400:D400"/>
    <mergeCell ref="A355:D355"/>
    <mergeCell ref="A360:D360"/>
    <mergeCell ref="A387:A388"/>
    <mergeCell ref="B387:B388"/>
    <mergeCell ref="C387:D388"/>
  </mergeCells>
  <pageMargins left="0.70866141732283472" right="0.70866141732283472" top="0.74803149606299213" bottom="0.74803149606299213" header="0.31496062992125984" footer="0.31496062992125984"/>
  <pageSetup scale="80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F450"/>
  <sheetViews>
    <sheetView topLeftCell="A264" zoomScale="90" zoomScaleNormal="90" workbookViewId="0">
      <selection activeCell="C271" sqref="C271"/>
    </sheetView>
  </sheetViews>
  <sheetFormatPr baseColWidth="10" defaultRowHeight="14.4" x14ac:dyDescent="0.3"/>
  <cols>
    <col min="1" max="1" width="36.33203125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82</v>
      </c>
      <c r="C9" s="3"/>
      <c r="D9" s="12"/>
    </row>
    <row r="10" spans="1:4" x14ac:dyDescent="0.3">
      <c r="A10" s="11" t="s">
        <v>2</v>
      </c>
      <c r="B10" s="10" t="s">
        <v>83</v>
      </c>
      <c r="C10" s="4"/>
      <c r="D10" s="13"/>
    </row>
    <row r="11" spans="1:4" x14ac:dyDescent="0.3">
      <c r="A11" s="11" t="s">
        <v>3</v>
      </c>
      <c r="B11" s="3" t="s">
        <v>84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4" x14ac:dyDescent="0.3">
      <c r="A17" s="26" t="s">
        <v>16</v>
      </c>
      <c r="B17" s="27"/>
      <c r="C17" s="28">
        <v>622</v>
      </c>
      <c r="D17" s="29"/>
    </row>
    <row r="18" spans="1:4" x14ac:dyDescent="0.3">
      <c r="A18" s="26" t="s">
        <v>107</v>
      </c>
      <c r="B18" s="27"/>
      <c r="C18" s="28"/>
      <c r="D18" s="29"/>
    </row>
    <row r="19" spans="1:4" x14ac:dyDescent="0.3">
      <c r="A19" s="26" t="s">
        <v>8</v>
      </c>
      <c r="B19" s="27"/>
      <c r="C19" s="28"/>
      <c r="D19" s="29"/>
    </row>
    <row r="20" spans="1:4" x14ac:dyDescent="0.3">
      <c r="A20" s="26" t="s">
        <v>9</v>
      </c>
      <c r="B20" s="27"/>
      <c r="C20" s="28"/>
      <c r="D20" s="29"/>
    </row>
    <row r="21" spans="1:4" x14ac:dyDescent="0.3">
      <c r="A21" s="26"/>
      <c r="B21" s="27" t="s">
        <v>10</v>
      </c>
      <c r="C21" s="28"/>
      <c r="D21" s="29">
        <f>C17*11.45%</f>
        <v>71.218999999999994</v>
      </c>
    </row>
    <row r="22" spans="1:4" x14ac:dyDescent="0.3">
      <c r="A22" s="26"/>
      <c r="B22" s="27" t="s">
        <v>11</v>
      </c>
      <c r="C22" s="28"/>
      <c r="D22" s="29"/>
    </row>
    <row r="23" spans="1:4" x14ac:dyDescent="0.3">
      <c r="A23" s="26"/>
      <c r="B23" s="27" t="s">
        <v>55</v>
      </c>
      <c r="C23" s="28"/>
      <c r="D23" s="29"/>
    </row>
    <row r="24" spans="1:4" x14ac:dyDescent="0.3">
      <c r="A24" s="26"/>
      <c r="B24" s="27" t="s">
        <v>101</v>
      </c>
      <c r="C24" s="28"/>
      <c r="D24" s="29"/>
    </row>
    <row r="25" spans="1:4" x14ac:dyDescent="0.3">
      <c r="A25" s="26"/>
      <c r="B25" s="27" t="s">
        <v>18</v>
      </c>
      <c r="C25" s="28"/>
      <c r="D25" s="29">
        <v>227.5</v>
      </c>
    </row>
    <row r="26" spans="1:4" x14ac:dyDescent="0.3">
      <c r="A26" s="26"/>
      <c r="B26" s="27"/>
      <c r="C26" s="28"/>
      <c r="D26" s="29"/>
    </row>
    <row r="27" spans="1:4" x14ac:dyDescent="0.3">
      <c r="A27" s="21"/>
      <c r="B27" s="8"/>
      <c r="C27" s="1"/>
      <c r="D27" s="20"/>
    </row>
    <row r="28" spans="1:4" x14ac:dyDescent="0.3">
      <c r="A28" s="43"/>
      <c r="B28" s="44" t="s">
        <v>12</v>
      </c>
      <c r="C28" s="46">
        <f>SUM(C17:C27)</f>
        <v>622</v>
      </c>
      <c r="D28" s="50">
        <f>SUM(D17:D27)</f>
        <v>298.71899999999999</v>
      </c>
    </row>
    <row r="29" spans="1:4" x14ac:dyDescent="0.3">
      <c r="A29" s="21"/>
      <c r="B29" s="3"/>
      <c r="C29" s="3"/>
      <c r="D29" s="22"/>
    </row>
    <row r="30" spans="1:4" ht="28.2" x14ac:dyDescent="0.3">
      <c r="A30" s="21"/>
      <c r="B30" s="45"/>
      <c r="C30" s="47" t="s">
        <v>13</v>
      </c>
      <c r="D30" s="51">
        <f>+C28-D28</f>
        <v>323.28100000000001</v>
      </c>
    </row>
    <row r="31" spans="1:4" x14ac:dyDescent="0.3">
      <c r="A31" s="21"/>
      <c r="B31" s="3"/>
      <c r="C31" s="3"/>
      <c r="D31" s="22"/>
    </row>
    <row r="32" spans="1:4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29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85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86</v>
      </c>
      <c r="D47" s="293"/>
    </row>
    <row r="53" spans="1:4" ht="15" thickBot="1" x14ac:dyDescent="0.35"/>
    <row r="54" spans="1:4" ht="25.2" x14ac:dyDescent="0.3">
      <c r="A54" s="294"/>
      <c r="B54" s="295"/>
      <c r="C54" s="295"/>
      <c r="D54" s="296"/>
    </row>
    <row r="55" spans="1:4" x14ac:dyDescent="0.3">
      <c r="A55" s="31"/>
      <c r="B55" s="48"/>
      <c r="C55" s="2"/>
      <c r="D55" s="30"/>
    </row>
    <row r="56" spans="1:4" x14ac:dyDescent="0.3">
      <c r="A56" s="31"/>
      <c r="B56" s="49"/>
      <c r="C56" s="2"/>
      <c r="D56" s="30"/>
    </row>
    <row r="57" spans="1:4" x14ac:dyDescent="0.3">
      <c r="A57" s="31"/>
      <c r="B57" s="49"/>
      <c r="C57" s="2"/>
      <c r="D57" s="30"/>
    </row>
    <row r="58" spans="1:4" ht="15" thickBot="1" x14ac:dyDescent="0.35">
      <c r="A58" s="31"/>
      <c r="B58" s="2"/>
      <c r="C58" s="2"/>
      <c r="D58" s="30"/>
    </row>
    <row r="59" spans="1:4" ht="25.8" thickBot="1" x14ac:dyDescent="0.35">
      <c r="A59" s="297" t="s">
        <v>0</v>
      </c>
      <c r="B59" s="298"/>
      <c r="C59" s="298"/>
      <c r="D59" s="299"/>
    </row>
    <row r="60" spans="1:4" ht="25.2" x14ac:dyDescent="0.3">
      <c r="A60" s="52"/>
      <c r="B60" s="53"/>
      <c r="C60" s="53"/>
      <c r="D60" s="54"/>
    </row>
    <row r="61" spans="1:4" x14ac:dyDescent="0.3">
      <c r="A61" s="11" t="s">
        <v>1</v>
      </c>
      <c r="B61" s="3" t="s">
        <v>82</v>
      </c>
      <c r="C61" s="3"/>
      <c r="D61" s="12"/>
    </row>
    <row r="62" spans="1:4" x14ac:dyDescent="0.3">
      <c r="A62" s="11" t="s">
        <v>2</v>
      </c>
      <c r="B62" s="10" t="s">
        <v>83</v>
      </c>
      <c r="C62" s="4"/>
      <c r="D62" s="13"/>
    </row>
    <row r="63" spans="1:4" x14ac:dyDescent="0.3">
      <c r="A63" s="11" t="s">
        <v>3</v>
      </c>
      <c r="B63" s="3" t="s">
        <v>84</v>
      </c>
      <c r="C63" s="4"/>
      <c r="D63" s="14"/>
    </row>
    <row r="64" spans="1:4" x14ac:dyDescent="0.3">
      <c r="A64" s="11" t="s">
        <v>26</v>
      </c>
      <c r="B64" s="3" t="s">
        <v>112</v>
      </c>
      <c r="C64" s="4"/>
      <c r="D64" s="15"/>
    </row>
    <row r="65" spans="1:4" x14ac:dyDescent="0.3">
      <c r="A65" s="11" t="s">
        <v>99</v>
      </c>
      <c r="B65" s="55">
        <v>2022</v>
      </c>
      <c r="C65" s="4"/>
      <c r="D65" s="15"/>
    </row>
    <row r="66" spans="1:4" x14ac:dyDescent="0.3">
      <c r="A66" s="16"/>
      <c r="B66" s="5"/>
      <c r="C66" s="5"/>
      <c r="D66" s="17"/>
    </row>
    <row r="67" spans="1:4" x14ac:dyDescent="0.3">
      <c r="A67" s="39" t="s">
        <v>4</v>
      </c>
      <c r="B67" s="40"/>
      <c r="C67" s="41" t="s">
        <v>5</v>
      </c>
      <c r="D67" s="42" t="s">
        <v>6</v>
      </c>
    </row>
    <row r="68" spans="1:4" x14ac:dyDescent="0.3">
      <c r="A68" s="18"/>
      <c r="B68" s="6"/>
      <c r="C68" s="7"/>
      <c r="D68" s="19"/>
    </row>
    <row r="69" spans="1:4" x14ac:dyDescent="0.3">
      <c r="A69" s="26" t="s">
        <v>16</v>
      </c>
      <c r="B69" s="27"/>
      <c r="C69" s="28">
        <v>622</v>
      </c>
      <c r="D69" s="29"/>
    </row>
    <row r="70" spans="1:4" x14ac:dyDescent="0.3">
      <c r="A70" s="26" t="s">
        <v>107</v>
      </c>
      <c r="B70" s="27"/>
      <c r="C70" s="28"/>
      <c r="D70" s="29"/>
    </row>
    <row r="71" spans="1:4" x14ac:dyDescent="0.3">
      <c r="A71" s="26" t="s">
        <v>8</v>
      </c>
      <c r="B71" s="27"/>
      <c r="C71" s="28"/>
      <c r="D71" s="29"/>
    </row>
    <row r="72" spans="1:4" x14ac:dyDescent="0.3">
      <c r="A72" s="26" t="s">
        <v>9</v>
      </c>
      <c r="B72" s="27"/>
      <c r="C72" s="28"/>
      <c r="D72" s="29"/>
    </row>
    <row r="73" spans="1:4" x14ac:dyDescent="0.3">
      <c r="A73" s="26"/>
      <c r="B73" s="27" t="s">
        <v>10</v>
      </c>
      <c r="C73" s="28"/>
      <c r="D73" s="29">
        <f>C69*11.45%</f>
        <v>71.218999999999994</v>
      </c>
    </row>
    <row r="74" spans="1:4" x14ac:dyDescent="0.3">
      <c r="A74" s="26"/>
      <c r="B74" s="27" t="s">
        <v>11</v>
      </c>
      <c r="C74" s="28"/>
      <c r="D74" s="29"/>
    </row>
    <row r="75" spans="1:4" x14ac:dyDescent="0.3">
      <c r="A75" s="26"/>
      <c r="B75" s="27" t="s">
        <v>55</v>
      </c>
      <c r="C75" s="28"/>
      <c r="D75" s="29">
        <v>311</v>
      </c>
    </row>
    <row r="76" spans="1:4" x14ac:dyDescent="0.3">
      <c r="A76" s="26"/>
      <c r="B76" s="27" t="s">
        <v>101</v>
      </c>
      <c r="C76" s="28"/>
      <c r="D76" s="29"/>
    </row>
    <row r="77" spans="1:4" x14ac:dyDescent="0.3">
      <c r="A77" s="26"/>
      <c r="B77" s="27" t="s">
        <v>18</v>
      </c>
      <c r="C77" s="28"/>
      <c r="D77" s="29">
        <v>227.5</v>
      </c>
    </row>
    <row r="78" spans="1:4" x14ac:dyDescent="0.3">
      <c r="A78" s="26"/>
      <c r="B78" s="27"/>
      <c r="C78" s="28"/>
      <c r="D78" s="29"/>
    </row>
    <row r="79" spans="1:4" x14ac:dyDescent="0.3">
      <c r="A79" s="21"/>
      <c r="B79" s="8"/>
      <c r="C79" s="1"/>
      <c r="D79" s="20"/>
    </row>
    <row r="80" spans="1:4" x14ac:dyDescent="0.3">
      <c r="A80" s="43"/>
      <c r="B80" s="44" t="s">
        <v>12</v>
      </c>
      <c r="C80" s="46">
        <f>SUM(C69:C79)</f>
        <v>622</v>
      </c>
      <c r="D80" s="50">
        <f>SUM(D69:D79)</f>
        <v>609.71900000000005</v>
      </c>
    </row>
    <row r="81" spans="1:4" x14ac:dyDescent="0.3">
      <c r="A81" s="21"/>
      <c r="B81" s="3"/>
      <c r="C81" s="3"/>
      <c r="D81" s="22"/>
    </row>
    <row r="82" spans="1:4" ht="28.2" x14ac:dyDescent="0.3">
      <c r="A82" s="21"/>
      <c r="B82" s="45"/>
      <c r="C82" s="47" t="s">
        <v>13</v>
      </c>
      <c r="D82" s="51">
        <f>+C80-D80</f>
        <v>12.280999999999949</v>
      </c>
    </row>
    <row r="83" spans="1:4" x14ac:dyDescent="0.3">
      <c r="A83" s="21"/>
      <c r="B83" s="3"/>
      <c r="C83" s="3"/>
      <c r="D83" s="22"/>
    </row>
    <row r="84" spans="1:4" x14ac:dyDescent="0.3">
      <c r="A84" s="23"/>
      <c r="B84" s="4" t="s">
        <v>14</v>
      </c>
      <c r="C84" s="2"/>
      <c r="D84" s="24"/>
    </row>
    <row r="85" spans="1:4" ht="15" thickBot="1" x14ac:dyDescent="0.35">
      <c r="A85" s="23"/>
      <c r="B85" s="9"/>
      <c r="C85" s="9"/>
      <c r="D85" s="24"/>
    </row>
    <row r="86" spans="1:4" x14ac:dyDescent="0.3">
      <c r="A86" s="300" t="s">
        <v>28</v>
      </c>
      <c r="B86" s="300" t="s">
        <v>29</v>
      </c>
      <c r="C86" s="302" t="s">
        <v>30</v>
      </c>
      <c r="D86" s="303"/>
    </row>
    <row r="87" spans="1:4" ht="15" thickBot="1" x14ac:dyDescent="0.35">
      <c r="A87" s="301"/>
      <c r="B87" s="301"/>
      <c r="C87" s="304"/>
      <c r="D87" s="30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8" t="s">
        <v>20</v>
      </c>
      <c r="B98" s="35" t="s">
        <v>21</v>
      </c>
      <c r="C98" s="290" t="s">
        <v>85</v>
      </c>
      <c r="D98" s="291"/>
    </row>
    <row r="99" spans="1:4" ht="15" thickBot="1" x14ac:dyDescent="0.35">
      <c r="A99" s="36" t="s">
        <v>22</v>
      </c>
      <c r="B99" s="33" t="s">
        <v>23</v>
      </c>
      <c r="C99" s="292" t="s">
        <v>86</v>
      </c>
      <c r="D99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82</v>
      </c>
      <c r="C112" s="3"/>
      <c r="D112" s="12"/>
    </row>
    <row r="113" spans="1:4" x14ac:dyDescent="0.3">
      <c r="A113" s="11" t="s">
        <v>2</v>
      </c>
      <c r="B113" s="10" t="s">
        <v>83</v>
      </c>
      <c r="C113" s="4"/>
      <c r="D113" s="13"/>
    </row>
    <row r="114" spans="1:4" x14ac:dyDescent="0.3">
      <c r="A114" s="11" t="s">
        <v>3</v>
      </c>
      <c r="B114" s="3" t="s">
        <v>84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622</v>
      </c>
      <c r="D120" s="29"/>
    </row>
    <row r="121" spans="1:4" x14ac:dyDescent="0.3">
      <c r="A121" s="26" t="s">
        <v>107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71.218999999999994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>
        <v>311</v>
      </c>
    </row>
    <row r="127" spans="1:4" x14ac:dyDescent="0.3">
      <c r="A127" s="26"/>
      <c r="B127" s="27" t="s">
        <v>101</v>
      </c>
      <c r="C127" s="28"/>
      <c r="D127" s="29"/>
    </row>
    <row r="128" spans="1:4" x14ac:dyDescent="0.3">
      <c r="A128" s="26"/>
      <c r="B128" s="27" t="s">
        <v>18</v>
      </c>
      <c r="C128" s="28"/>
      <c r="D128" s="29">
        <v>158</v>
      </c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622</v>
      </c>
      <c r="D131" s="50">
        <f>SUM(D120:D130)</f>
        <v>540.21900000000005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81.780999999999949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29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8" t="s">
        <v>20</v>
      </c>
      <c r="B149" s="35" t="s">
        <v>21</v>
      </c>
      <c r="C149" s="290" t="s">
        <v>85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86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82</v>
      </c>
      <c r="C162" s="3"/>
      <c r="D162" s="12"/>
    </row>
    <row r="163" spans="1:4" x14ac:dyDescent="0.3">
      <c r="A163" s="11" t="s">
        <v>2</v>
      </c>
      <c r="B163" s="10" t="s">
        <v>83</v>
      </c>
      <c r="C163" s="4"/>
      <c r="D163" s="13"/>
    </row>
    <row r="164" spans="1:4" x14ac:dyDescent="0.3">
      <c r="A164" s="11" t="s">
        <v>3</v>
      </c>
      <c r="B164" s="3" t="s">
        <v>84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622</v>
      </c>
      <c r="D170" s="29"/>
    </row>
    <row r="171" spans="1:4" x14ac:dyDescent="0.3">
      <c r="A171" s="26" t="s">
        <v>107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10</v>
      </c>
      <c r="C174" s="28"/>
      <c r="D174" s="29">
        <f>C170*11.45%</f>
        <v>71.218999999999994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55</v>
      </c>
      <c r="C176" s="28"/>
      <c r="D176" s="29">
        <v>311</v>
      </c>
    </row>
    <row r="177" spans="1:4" x14ac:dyDescent="0.3">
      <c r="A177" s="26"/>
      <c r="B177" s="27" t="s">
        <v>101</v>
      </c>
      <c r="C177" s="28"/>
      <c r="D177" s="29"/>
    </row>
    <row r="178" spans="1:4" x14ac:dyDescent="0.3">
      <c r="A178" s="26"/>
      <c r="B178" s="27" t="s">
        <v>18</v>
      </c>
      <c r="C178" s="28"/>
      <c r="D178" s="29">
        <v>158</v>
      </c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622</v>
      </c>
      <c r="D181" s="50">
        <f>SUM(D170:D180)</f>
        <v>540.21900000000005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81.780999999999949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29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85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86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82</v>
      </c>
      <c r="C212" s="3"/>
      <c r="D212" s="12"/>
    </row>
    <row r="213" spans="1:4" x14ac:dyDescent="0.3">
      <c r="A213" s="11" t="s">
        <v>2</v>
      </c>
      <c r="B213" s="10" t="s">
        <v>83</v>
      </c>
      <c r="C213" s="4"/>
      <c r="D213" s="13"/>
    </row>
    <row r="214" spans="1:4" x14ac:dyDescent="0.3">
      <c r="A214" s="11" t="s">
        <v>3</v>
      </c>
      <c r="B214" s="3" t="s">
        <v>84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622</v>
      </c>
      <c r="D220" s="29"/>
    </row>
    <row r="221" spans="1:4" x14ac:dyDescent="0.3">
      <c r="A221" s="26" t="s">
        <v>107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71.218999999999994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55</v>
      </c>
      <c r="C226" s="28"/>
      <c r="D226" s="29">
        <v>311</v>
      </c>
    </row>
    <row r="227" spans="1:4" x14ac:dyDescent="0.3">
      <c r="A227" s="26"/>
      <c r="B227" s="27" t="s">
        <v>101</v>
      </c>
      <c r="C227" s="28"/>
      <c r="D227" s="29"/>
    </row>
    <row r="228" spans="1:4" x14ac:dyDescent="0.3">
      <c r="A228" s="26"/>
      <c r="B228" s="27" t="s">
        <v>18</v>
      </c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622</v>
      </c>
      <c r="D231" s="50">
        <f>SUM(D220:D230)</f>
        <v>382.21899999999999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239.78100000000001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29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85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86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82</v>
      </c>
      <c r="C262" s="3"/>
      <c r="D262" s="12"/>
    </row>
    <row r="263" spans="1:4" x14ac:dyDescent="0.3">
      <c r="A263" s="11" t="s">
        <v>2</v>
      </c>
      <c r="B263" s="10" t="s">
        <v>83</v>
      </c>
      <c r="C263" s="4"/>
      <c r="D263" s="13"/>
    </row>
    <row r="264" spans="1:4" x14ac:dyDescent="0.3">
      <c r="A264" s="11" t="s">
        <v>3</v>
      </c>
      <c r="B264" s="3" t="s">
        <v>84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f>(622/30)*6</f>
        <v>124.4</v>
      </c>
      <c r="D270" s="29"/>
    </row>
    <row r="271" spans="1:4" x14ac:dyDescent="0.3">
      <c r="A271" s="26" t="s">
        <v>121</v>
      </c>
      <c r="B271" s="27"/>
      <c r="C271" s="28">
        <f>(622*8.33%)*5</f>
        <v>259.06299999999999</v>
      </c>
      <c r="D271" s="29"/>
    </row>
    <row r="272" spans="1:4" x14ac:dyDescent="0.3">
      <c r="A272" s="26" t="s">
        <v>8</v>
      </c>
      <c r="B272" s="27"/>
      <c r="C272" s="28">
        <f>(622/12)*5</f>
        <v>259.16666666666669</v>
      </c>
      <c r="D272" s="29"/>
    </row>
    <row r="273" spans="1:4" x14ac:dyDescent="0.3">
      <c r="A273" s="26" t="s">
        <v>9</v>
      </c>
      <c r="B273" s="27"/>
      <c r="C273" s="28">
        <f>(425/12)*9</f>
        <v>318.75</v>
      </c>
      <c r="D273" s="29"/>
    </row>
    <row r="274" spans="1:4" x14ac:dyDescent="0.3">
      <c r="A274" s="26"/>
      <c r="B274" s="27" t="s">
        <v>10</v>
      </c>
      <c r="C274" s="28"/>
      <c r="D274" s="29">
        <f>C270*11.45%</f>
        <v>14.2438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55</v>
      </c>
      <c r="C276" s="28"/>
      <c r="D276" s="29">
        <v>622</v>
      </c>
    </row>
    <row r="277" spans="1:4" x14ac:dyDescent="0.3">
      <c r="A277" s="26"/>
      <c r="B277" s="27" t="s">
        <v>101</v>
      </c>
      <c r="C277" s="28"/>
      <c r="D277" s="29"/>
    </row>
    <row r="278" spans="1:4" x14ac:dyDescent="0.3">
      <c r="A278" s="26"/>
      <c r="B278" s="27" t="s">
        <v>18</v>
      </c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961.37966666666671</v>
      </c>
      <c r="D281" s="50">
        <f>SUM(D270:D280)</f>
        <v>636.24379999999996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325.13586666666674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29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85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86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126</v>
      </c>
      <c r="C312" s="3"/>
      <c r="D312" s="12"/>
    </row>
    <row r="313" spans="1:4" x14ac:dyDescent="0.3">
      <c r="A313" s="11" t="s">
        <v>2</v>
      </c>
      <c r="B313" s="10" t="s">
        <v>127</v>
      </c>
      <c r="C313" s="4"/>
      <c r="D313" s="13"/>
    </row>
    <row r="314" spans="1:4" x14ac:dyDescent="0.3">
      <c r="A314" s="11" t="s">
        <v>3</v>
      </c>
      <c r="B314" s="3" t="s">
        <v>84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f>(622/30)*25</f>
        <v>518.33333333333337</v>
      </c>
      <c r="D320" s="29"/>
    </row>
    <row r="321" spans="1:4" x14ac:dyDescent="0.3">
      <c r="A321" s="26" t="s">
        <v>107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10</v>
      </c>
      <c r="C324" s="28"/>
      <c r="D324" s="29">
        <f>C320*11.45%</f>
        <v>59.349166666666669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55</v>
      </c>
      <c r="C326" s="28"/>
      <c r="D326" s="29"/>
    </row>
    <row r="327" spans="1:4" x14ac:dyDescent="0.3">
      <c r="A327" s="26"/>
      <c r="B327" s="27" t="s">
        <v>101</v>
      </c>
      <c r="C327" s="28"/>
      <c r="D327" s="29"/>
    </row>
    <row r="328" spans="1:4" x14ac:dyDescent="0.3">
      <c r="A328" s="26"/>
      <c r="B328" s="27" t="s">
        <v>18</v>
      </c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518.33333333333337</v>
      </c>
      <c r="D331" s="50">
        <f>SUM(D320:D330)</f>
        <v>59.349166666666669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458.98416666666668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29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128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129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126</v>
      </c>
      <c r="C362" s="3"/>
      <c r="D362" s="12"/>
    </row>
    <row r="363" spans="1:4" x14ac:dyDescent="0.3">
      <c r="A363" s="11" t="s">
        <v>2</v>
      </c>
      <c r="B363" s="10" t="s">
        <v>127</v>
      </c>
      <c r="C363" s="4"/>
      <c r="D363" s="13"/>
    </row>
    <row r="364" spans="1:4" x14ac:dyDescent="0.3">
      <c r="A364" s="11" t="s">
        <v>3</v>
      </c>
      <c r="B364" s="3" t="s">
        <v>84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x14ac:dyDescent="0.3">
      <c r="A371" s="26" t="s">
        <v>107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</f>
        <v>35.416666666666664</v>
      </c>
      <c r="D373" s="29"/>
    </row>
    <row r="374" spans="1:4" x14ac:dyDescent="0.3">
      <c r="A374" s="26"/>
      <c r="B374" s="27" t="s">
        <v>10</v>
      </c>
      <c r="C374" s="28"/>
      <c r="D374" s="29">
        <f>C370*11.45%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101</v>
      </c>
      <c r="C377" s="28"/>
      <c r="D377" s="29"/>
    </row>
    <row r="378" spans="1:4" x14ac:dyDescent="0.3">
      <c r="A378" s="26"/>
      <c r="B378" s="27" t="s">
        <v>18</v>
      </c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35.416666666666664</v>
      </c>
      <c r="D381" s="50">
        <f>SUM(D370:D380)</f>
        <v>0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35.416666666666664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29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128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129</v>
      </c>
      <c r="D400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126</v>
      </c>
      <c r="C412" s="3"/>
      <c r="D412" s="12"/>
    </row>
    <row r="413" spans="1:4" x14ac:dyDescent="0.3">
      <c r="A413" s="11" t="s">
        <v>2</v>
      </c>
      <c r="B413" s="10" t="s">
        <v>127</v>
      </c>
      <c r="C413" s="4"/>
      <c r="D413" s="13"/>
    </row>
    <row r="414" spans="1:4" x14ac:dyDescent="0.3">
      <c r="A414" s="11" t="s">
        <v>3</v>
      </c>
      <c r="B414" s="3" t="s">
        <v>84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6" x14ac:dyDescent="0.3">
      <c r="A417" s="16"/>
      <c r="B417" s="5"/>
      <c r="C417" s="5"/>
      <c r="D417" s="17"/>
    </row>
    <row r="418" spans="1:6" x14ac:dyDescent="0.3">
      <c r="A418" s="39" t="s">
        <v>4</v>
      </c>
      <c r="B418" s="40"/>
      <c r="C418" s="41" t="s">
        <v>5</v>
      </c>
      <c r="D418" s="42" t="s">
        <v>6</v>
      </c>
    </row>
    <row r="419" spans="1:6" x14ac:dyDescent="0.3">
      <c r="A419" s="18"/>
      <c r="B419" s="6"/>
      <c r="C419" s="7"/>
      <c r="D419" s="19"/>
    </row>
    <row r="420" spans="1:6" x14ac:dyDescent="0.3">
      <c r="A420" s="26" t="s">
        <v>16</v>
      </c>
      <c r="B420" s="27"/>
      <c r="C420" s="28">
        <f>(622/30)*15</f>
        <v>311</v>
      </c>
      <c r="D420" s="29"/>
    </row>
    <row r="421" spans="1:6" x14ac:dyDescent="0.3">
      <c r="A421" s="26" t="s">
        <v>107</v>
      </c>
      <c r="B421" s="27"/>
      <c r="C421" s="28"/>
      <c r="D421" s="29"/>
    </row>
    <row r="422" spans="1:6" x14ac:dyDescent="0.3">
      <c r="A422" s="26" t="s">
        <v>8</v>
      </c>
      <c r="B422" s="27"/>
      <c r="C422" s="28">
        <f>(622/12)*1</f>
        <v>51.833333333333336</v>
      </c>
      <c r="D422" s="29"/>
    </row>
    <row r="423" spans="1:6" x14ac:dyDescent="0.3">
      <c r="A423" s="26" t="s">
        <v>9</v>
      </c>
      <c r="B423" s="27"/>
      <c r="C423" s="28"/>
      <c r="D423" s="29"/>
      <c r="F423" s="57">
        <f>C420-D424</f>
        <v>275.39049999999997</v>
      </c>
    </row>
    <row r="424" spans="1:6" x14ac:dyDescent="0.3">
      <c r="A424" s="26"/>
      <c r="B424" s="27" t="s">
        <v>10</v>
      </c>
      <c r="C424" s="28"/>
      <c r="D424" s="29">
        <f>C420*11.45%</f>
        <v>35.609499999999997</v>
      </c>
    </row>
    <row r="425" spans="1:6" x14ac:dyDescent="0.3">
      <c r="A425" s="26"/>
      <c r="B425" s="27" t="s">
        <v>11</v>
      </c>
      <c r="C425" s="28"/>
      <c r="D425" s="29"/>
    </row>
    <row r="426" spans="1:6" x14ac:dyDescent="0.3">
      <c r="A426" s="26"/>
      <c r="B426" s="27" t="s">
        <v>55</v>
      </c>
      <c r="C426" s="28"/>
      <c r="D426" s="29"/>
    </row>
    <row r="427" spans="1:6" x14ac:dyDescent="0.3">
      <c r="A427" s="26"/>
      <c r="B427" s="27" t="s">
        <v>101</v>
      </c>
      <c r="C427" s="28"/>
      <c r="D427" s="29"/>
    </row>
    <row r="428" spans="1:6" x14ac:dyDescent="0.3">
      <c r="A428" s="26"/>
      <c r="B428" s="27" t="s">
        <v>18</v>
      </c>
      <c r="C428" s="28"/>
      <c r="D428" s="29"/>
    </row>
    <row r="429" spans="1:6" x14ac:dyDescent="0.3">
      <c r="A429" s="26"/>
      <c r="B429" s="27"/>
      <c r="C429" s="28"/>
      <c r="D429" s="29"/>
    </row>
    <row r="430" spans="1:6" x14ac:dyDescent="0.3">
      <c r="A430" s="21"/>
      <c r="B430" s="8"/>
      <c r="C430" s="1"/>
      <c r="D430" s="20"/>
    </row>
    <row r="431" spans="1:6" x14ac:dyDescent="0.3">
      <c r="A431" s="43"/>
      <c r="B431" s="44" t="s">
        <v>12</v>
      </c>
      <c r="C431" s="46">
        <f>SUM(C420:C430)</f>
        <v>362.83333333333331</v>
      </c>
      <c r="D431" s="50">
        <f>SUM(D420:D430)</f>
        <v>35.609499999999997</v>
      </c>
    </row>
    <row r="432" spans="1:6" x14ac:dyDescent="0.3">
      <c r="A432" s="21"/>
      <c r="B432" s="3"/>
      <c r="C432" s="3"/>
      <c r="D432" s="22"/>
    </row>
    <row r="433" spans="1:4" ht="28.2" x14ac:dyDescent="0.3">
      <c r="A433" s="21"/>
      <c r="B433" s="45"/>
      <c r="C433" s="47" t="s">
        <v>13</v>
      </c>
      <c r="D433" s="51">
        <f>+C431-D431</f>
        <v>327.22383333333335</v>
      </c>
    </row>
    <row r="434" spans="1:4" x14ac:dyDescent="0.3">
      <c r="A434" s="21"/>
      <c r="B434" s="3"/>
      <c r="C434" s="3"/>
      <c r="D434" s="22"/>
    </row>
    <row r="435" spans="1:4" x14ac:dyDescent="0.3">
      <c r="A435" s="23"/>
      <c r="B435" s="4" t="s">
        <v>14</v>
      </c>
      <c r="C435" s="2"/>
      <c r="D435" s="24"/>
    </row>
    <row r="436" spans="1:4" ht="15" thickBot="1" x14ac:dyDescent="0.35">
      <c r="A436" s="23"/>
      <c r="B436" s="9"/>
      <c r="C436" s="9"/>
      <c r="D436" s="24"/>
    </row>
    <row r="437" spans="1:4" x14ac:dyDescent="0.3">
      <c r="A437" s="300" t="s">
        <v>28</v>
      </c>
      <c r="B437" s="300" t="s">
        <v>29</v>
      </c>
      <c r="C437" s="302" t="s">
        <v>30</v>
      </c>
      <c r="D437" s="303"/>
    </row>
    <row r="438" spans="1:4" ht="15" thickBot="1" x14ac:dyDescent="0.35">
      <c r="A438" s="301"/>
      <c r="B438" s="301"/>
      <c r="C438" s="304"/>
      <c r="D438" s="30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8" t="s">
        <v>20</v>
      </c>
      <c r="B449" s="35" t="s">
        <v>21</v>
      </c>
      <c r="C449" s="290" t="s">
        <v>128</v>
      </c>
      <c r="D449" s="291"/>
    </row>
    <row r="450" spans="1:4" ht="15" thickBot="1" x14ac:dyDescent="0.35">
      <c r="A450" s="36" t="s">
        <v>22</v>
      </c>
      <c r="B450" s="33" t="s">
        <v>23</v>
      </c>
      <c r="C450" s="292" t="s">
        <v>129</v>
      </c>
      <c r="D450" s="293"/>
    </row>
  </sheetData>
  <mergeCells count="63">
    <mergeCell ref="C349:D349"/>
    <mergeCell ref="C350:D350"/>
    <mergeCell ref="A305:D305"/>
    <mergeCell ref="A310:D310"/>
    <mergeCell ref="A337:A338"/>
    <mergeCell ref="B337:B338"/>
    <mergeCell ref="C337:D33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8:D98"/>
    <mergeCell ref="C99:D99"/>
    <mergeCell ref="A54:D54"/>
    <mergeCell ref="A59:D59"/>
    <mergeCell ref="A86:A87"/>
    <mergeCell ref="B86:B87"/>
    <mergeCell ref="C86:D87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99:D399"/>
    <mergeCell ref="C400:D400"/>
    <mergeCell ref="A355:D355"/>
    <mergeCell ref="A360:D360"/>
    <mergeCell ref="A387:A388"/>
    <mergeCell ref="B387:B388"/>
    <mergeCell ref="C387:D388"/>
    <mergeCell ref="C449:D449"/>
    <mergeCell ref="C450:D450"/>
    <mergeCell ref="A405:D405"/>
    <mergeCell ref="A410:D410"/>
    <mergeCell ref="A437:A438"/>
    <mergeCell ref="B437:B438"/>
    <mergeCell ref="C437:D438"/>
  </mergeCells>
  <pageMargins left="0.70866141732283472" right="0.70866141732283472" top="0.74803149606299213" bottom="0.74803149606299213" header="0.31496062992125984" footer="0.31496062992125984"/>
  <pageSetup scale="80" orientation="portrait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D451"/>
  <sheetViews>
    <sheetView topLeftCell="A411" zoomScale="90" zoomScaleNormal="90" workbookViewId="0">
      <selection activeCell="G429" sqref="G429"/>
    </sheetView>
  </sheetViews>
  <sheetFormatPr baseColWidth="10" defaultRowHeight="14.4" x14ac:dyDescent="0.3"/>
  <cols>
    <col min="1" max="1" width="35.6640625" customWidth="1"/>
    <col min="2" max="2" width="36.109375" customWidth="1"/>
    <col min="3" max="3" width="17.33203125" customWidth="1"/>
    <col min="4" max="4" width="17.6640625" customWidth="1"/>
    <col min="5" max="5" width="32.1093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95</v>
      </c>
      <c r="C9" s="3"/>
      <c r="D9" s="12"/>
    </row>
    <row r="10" spans="1:4" x14ac:dyDescent="0.3">
      <c r="A10" s="11" t="s">
        <v>2</v>
      </c>
      <c r="B10" s="10" t="s">
        <v>96</v>
      </c>
      <c r="C10" s="4"/>
      <c r="D10" s="13"/>
    </row>
    <row r="11" spans="1:4" x14ac:dyDescent="0.3">
      <c r="A11" s="11" t="s">
        <v>3</v>
      </c>
      <c r="B11" s="3" t="s">
        <v>87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4" x14ac:dyDescent="0.3">
      <c r="A17" s="26" t="s">
        <v>16</v>
      </c>
      <c r="B17" s="27"/>
      <c r="C17" s="28">
        <v>500</v>
      </c>
      <c r="D17" s="29"/>
    </row>
    <row r="18" spans="1:4" ht="24" x14ac:dyDescent="0.3">
      <c r="A18" s="26" t="s">
        <v>108</v>
      </c>
      <c r="B18" s="27"/>
      <c r="C18" s="28"/>
      <c r="D18" s="29"/>
    </row>
    <row r="19" spans="1:4" x14ac:dyDescent="0.3">
      <c r="A19" s="26" t="s">
        <v>8</v>
      </c>
      <c r="B19" s="27"/>
      <c r="C19" s="28"/>
      <c r="D19" s="29"/>
    </row>
    <row r="20" spans="1:4" x14ac:dyDescent="0.3">
      <c r="A20" s="26" t="s">
        <v>9</v>
      </c>
      <c r="B20" s="27"/>
      <c r="C20" s="28"/>
      <c r="D20" s="29"/>
    </row>
    <row r="21" spans="1:4" x14ac:dyDescent="0.3">
      <c r="A21" s="26"/>
      <c r="B21" s="27" t="s">
        <v>10</v>
      </c>
      <c r="C21" s="28"/>
      <c r="D21" s="29">
        <f>C17*11.45%</f>
        <v>57.249999999999993</v>
      </c>
    </row>
    <row r="22" spans="1:4" x14ac:dyDescent="0.3">
      <c r="A22" s="26"/>
      <c r="B22" s="27" t="s">
        <v>11</v>
      </c>
      <c r="C22" s="28"/>
      <c r="D22" s="29"/>
    </row>
    <row r="23" spans="1:4" x14ac:dyDescent="0.3">
      <c r="A23" s="26"/>
      <c r="B23" s="27" t="s">
        <v>55</v>
      </c>
      <c r="C23" s="28"/>
      <c r="D23" s="29">
        <v>250</v>
      </c>
    </row>
    <row r="24" spans="1:4" x14ac:dyDescent="0.3">
      <c r="A24" s="26"/>
      <c r="B24" s="27" t="s">
        <v>101</v>
      </c>
      <c r="C24" s="28"/>
      <c r="D24" s="29"/>
    </row>
    <row r="25" spans="1:4" x14ac:dyDescent="0.3">
      <c r="A25" s="26"/>
      <c r="B25" s="27" t="s">
        <v>18</v>
      </c>
      <c r="C25" s="28"/>
      <c r="D25" s="29"/>
    </row>
    <row r="26" spans="1:4" x14ac:dyDescent="0.3">
      <c r="A26" s="26"/>
      <c r="B26" s="27"/>
      <c r="C26" s="28"/>
      <c r="D26" s="29"/>
    </row>
    <row r="27" spans="1:4" x14ac:dyDescent="0.3">
      <c r="A27" s="21"/>
      <c r="B27" s="8"/>
      <c r="C27" s="1"/>
      <c r="D27" s="20"/>
    </row>
    <row r="28" spans="1:4" x14ac:dyDescent="0.3">
      <c r="A28" s="43"/>
      <c r="B28" s="44" t="s">
        <v>12</v>
      </c>
      <c r="C28" s="46">
        <f>SUM(C17:C27)</f>
        <v>500</v>
      </c>
      <c r="D28" s="50">
        <f>SUM(D17:D27)</f>
        <v>307.25</v>
      </c>
    </row>
    <row r="29" spans="1:4" x14ac:dyDescent="0.3">
      <c r="A29" s="21"/>
      <c r="B29" s="3"/>
      <c r="C29" s="3"/>
      <c r="D29" s="22"/>
    </row>
    <row r="30" spans="1:4" ht="28.2" x14ac:dyDescent="0.3">
      <c r="A30" s="21"/>
      <c r="B30" s="45"/>
      <c r="C30" s="47" t="s">
        <v>13</v>
      </c>
      <c r="D30" s="51">
        <f>+C28-D28</f>
        <v>192.75</v>
      </c>
    </row>
    <row r="31" spans="1:4" x14ac:dyDescent="0.3">
      <c r="A31" s="21"/>
      <c r="B31" s="3"/>
      <c r="C31" s="3"/>
      <c r="D31" s="22"/>
    </row>
    <row r="32" spans="1:4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98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97</v>
      </c>
      <c r="D47" s="293"/>
    </row>
    <row r="53" spans="1:4" ht="15" thickBot="1" x14ac:dyDescent="0.35"/>
    <row r="54" spans="1:4" ht="25.2" x14ac:dyDescent="0.3">
      <c r="A54" s="294"/>
      <c r="B54" s="295"/>
      <c r="C54" s="295"/>
      <c r="D54" s="296"/>
    </row>
    <row r="55" spans="1:4" x14ac:dyDescent="0.3">
      <c r="A55" s="31"/>
      <c r="B55" s="48"/>
      <c r="C55" s="2"/>
      <c r="D55" s="30"/>
    </row>
    <row r="56" spans="1:4" x14ac:dyDescent="0.3">
      <c r="A56" s="31"/>
      <c r="B56" s="49"/>
      <c r="C56" s="2"/>
      <c r="D56" s="30"/>
    </row>
    <row r="57" spans="1:4" x14ac:dyDescent="0.3">
      <c r="A57" s="31"/>
      <c r="B57" s="49"/>
      <c r="C57" s="2"/>
      <c r="D57" s="30"/>
    </row>
    <row r="58" spans="1:4" ht="15" thickBot="1" x14ac:dyDescent="0.35">
      <c r="A58" s="31"/>
      <c r="B58" s="2"/>
      <c r="C58" s="2"/>
      <c r="D58" s="30"/>
    </row>
    <row r="59" spans="1:4" ht="25.8" thickBot="1" x14ac:dyDescent="0.35">
      <c r="A59" s="297" t="s">
        <v>0</v>
      </c>
      <c r="B59" s="298"/>
      <c r="C59" s="298"/>
      <c r="D59" s="299"/>
    </row>
    <row r="60" spans="1:4" ht="25.2" x14ac:dyDescent="0.3">
      <c r="A60" s="52"/>
      <c r="B60" s="53"/>
      <c r="C60" s="53"/>
      <c r="D60" s="54"/>
    </row>
    <row r="61" spans="1:4" x14ac:dyDescent="0.3">
      <c r="A61" s="11" t="s">
        <v>1</v>
      </c>
      <c r="B61" s="3" t="s">
        <v>95</v>
      </c>
      <c r="C61" s="3"/>
      <c r="D61" s="12"/>
    </row>
    <row r="62" spans="1:4" x14ac:dyDescent="0.3">
      <c r="A62" s="11" t="s">
        <v>2</v>
      </c>
      <c r="B62" s="10" t="s">
        <v>96</v>
      </c>
      <c r="C62" s="4"/>
      <c r="D62" s="13"/>
    </row>
    <row r="63" spans="1:4" x14ac:dyDescent="0.3">
      <c r="A63" s="11" t="s">
        <v>3</v>
      </c>
      <c r="B63" s="3" t="s">
        <v>87</v>
      </c>
      <c r="C63" s="4"/>
      <c r="D63" s="14"/>
    </row>
    <row r="64" spans="1:4" x14ac:dyDescent="0.3">
      <c r="A64" s="11" t="s">
        <v>26</v>
      </c>
      <c r="B64" s="3" t="s">
        <v>112</v>
      </c>
      <c r="C64" s="4"/>
      <c r="D64" s="15"/>
    </row>
    <row r="65" spans="1:4" x14ac:dyDescent="0.3">
      <c r="A65" s="11" t="s">
        <v>99</v>
      </c>
      <c r="B65" s="55">
        <v>2022</v>
      </c>
      <c r="C65" s="4"/>
      <c r="D65" s="15"/>
    </row>
    <row r="66" spans="1:4" x14ac:dyDescent="0.3">
      <c r="A66" s="16"/>
      <c r="B66" s="5"/>
      <c r="C66" s="5"/>
      <c r="D66" s="17"/>
    </row>
    <row r="67" spans="1:4" x14ac:dyDescent="0.3">
      <c r="A67" s="39" t="s">
        <v>4</v>
      </c>
      <c r="B67" s="40"/>
      <c r="C67" s="41" t="s">
        <v>5</v>
      </c>
      <c r="D67" s="42" t="s">
        <v>6</v>
      </c>
    </row>
    <row r="68" spans="1:4" x14ac:dyDescent="0.3">
      <c r="A68" s="18"/>
      <c r="B68" s="6"/>
      <c r="C68" s="7"/>
      <c r="D68" s="19"/>
    </row>
    <row r="69" spans="1:4" x14ac:dyDescent="0.3">
      <c r="A69" s="26" t="s">
        <v>16</v>
      </c>
      <c r="B69" s="27"/>
      <c r="C69" s="28">
        <v>500</v>
      </c>
      <c r="D69" s="29"/>
    </row>
    <row r="70" spans="1:4" ht="24" x14ac:dyDescent="0.3">
      <c r="A70" s="26" t="s">
        <v>108</v>
      </c>
      <c r="B70" s="27"/>
      <c r="C70" s="28"/>
      <c r="D70" s="29"/>
    </row>
    <row r="71" spans="1:4" x14ac:dyDescent="0.3">
      <c r="A71" s="26" t="s">
        <v>8</v>
      </c>
      <c r="B71" s="27"/>
      <c r="C71" s="28"/>
      <c r="D71" s="29"/>
    </row>
    <row r="72" spans="1:4" x14ac:dyDescent="0.3">
      <c r="A72" s="26" t="s">
        <v>9</v>
      </c>
      <c r="B72" s="27"/>
      <c r="C72" s="28"/>
      <c r="D72" s="29"/>
    </row>
    <row r="73" spans="1:4" x14ac:dyDescent="0.3">
      <c r="A73" s="26"/>
      <c r="B73" s="27" t="s">
        <v>10</v>
      </c>
      <c r="C73" s="28"/>
      <c r="D73" s="29">
        <f>C69*11.45%</f>
        <v>57.249999999999993</v>
      </c>
    </row>
    <row r="74" spans="1:4" x14ac:dyDescent="0.3">
      <c r="A74" s="26"/>
      <c r="B74" s="27" t="s">
        <v>11</v>
      </c>
      <c r="C74" s="28"/>
      <c r="D74" s="29"/>
    </row>
    <row r="75" spans="1:4" x14ac:dyDescent="0.3">
      <c r="A75" s="26"/>
      <c r="B75" s="27" t="s">
        <v>55</v>
      </c>
      <c r="C75" s="28"/>
      <c r="D75" s="29"/>
    </row>
    <row r="76" spans="1:4" x14ac:dyDescent="0.3">
      <c r="A76" s="26"/>
      <c r="B76" s="27" t="s">
        <v>101</v>
      </c>
      <c r="C76" s="28"/>
      <c r="D76" s="29"/>
    </row>
    <row r="77" spans="1:4" x14ac:dyDescent="0.3">
      <c r="A77" s="26"/>
      <c r="B77" s="27" t="s">
        <v>18</v>
      </c>
      <c r="C77" s="28"/>
      <c r="D77" s="29"/>
    </row>
    <row r="78" spans="1:4" x14ac:dyDescent="0.3">
      <c r="A78" s="26"/>
      <c r="B78" s="27"/>
      <c r="C78" s="28"/>
      <c r="D78" s="29"/>
    </row>
    <row r="79" spans="1:4" x14ac:dyDescent="0.3">
      <c r="A79" s="21"/>
      <c r="B79" s="8"/>
      <c r="C79" s="1"/>
      <c r="D79" s="20"/>
    </row>
    <row r="80" spans="1:4" x14ac:dyDescent="0.3">
      <c r="A80" s="43"/>
      <c r="B80" s="44" t="s">
        <v>12</v>
      </c>
      <c r="C80" s="46">
        <f>SUM(C69:C79)</f>
        <v>500</v>
      </c>
      <c r="D80" s="50">
        <f>SUM(D69:D79)</f>
        <v>57.249999999999993</v>
      </c>
    </row>
    <row r="81" spans="1:4" x14ac:dyDescent="0.3">
      <c r="A81" s="21"/>
      <c r="B81" s="3"/>
      <c r="C81" s="3"/>
      <c r="D81" s="22"/>
    </row>
    <row r="82" spans="1:4" ht="28.2" x14ac:dyDescent="0.3">
      <c r="A82" s="21"/>
      <c r="B82" s="45"/>
      <c r="C82" s="47" t="s">
        <v>13</v>
      </c>
      <c r="D82" s="51">
        <f>+C80-D80</f>
        <v>442.75</v>
      </c>
    </row>
    <row r="83" spans="1:4" x14ac:dyDescent="0.3">
      <c r="A83" s="21"/>
      <c r="B83" s="3"/>
      <c r="C83" s="3"/>
      <c r="D83" s="22"/>
    </row>
    <row r="84" spans="1:4" x14ac:dyDescent="0.3">
      <c r="A84" s="23"/>
      <c r="B84" s="4" t="s">
        <v>14</v>
      </c>
      <c r="C84" s="2"/>
      <c r="D84" s="24"/>
    </row>
    <row r="85" spans="1:4" ht="15" thickBot="1" x14ac:dyDescent="0.35">
      <c r="A85" s="23"/>
      <c r="B85" s="9"/>
      <c r="C85" s="9"/>
      <c r="D85" s="24"/>
    </row>
    <row r="86" spans="1:4" x14ac:dyDescent="0.3">
      <c r="A86" s="300" t="s">
        <v>28</v>
      </c>
      <c r="B86" s="300" t="s">
        <v>93</v>
      </c>
      <c r="C86" s="302" t="s">
        <v>30</v>
      </c>
      <c r="D86" s="303"/>
    </row>
    <row r="87" spans="1:4" ht="15" thickBot="1" x14ac:dyDescent="0.35">
      <c r="A87" s="301"/>
      <c r="B87" s="301"/>
      <c r="C87" s="304"/>
      <c r="D87" s="30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8" t="s">
        <v>20</v>
      </c>
      <c r="B98" s="35" t="s">
        <v>21</v>
      </c>
      <c r="C98" s="290" t="s">
        <v>98</v>
      </c>
      <c r="D98" s="291"/>
    </row>
    <row r="99" spans="1:4" ht="15" thickBot="1" x14ac:dyDescent="0.35">
      <c r="A99" s="36" t="s">
        <v>22</v>
      </c>
      <c r="B99" s="33" t="s">
        <v>23</v>
      </c>
      <c r="C99" s="292" t="s">
        <v>97</v>
      </c>
      <c r="D99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95</v>
      </c>
      <c r="C112" s="3"/>
      <c r="D112" s="12"/>
    </row>
    <row r="113" spans="1:4" x14ac:dyDescent="0.3">
      <c r="A113" s="11" t="s">
        <v>2</v>
      </c>
      <c r="B113" s="10" t="s">
        <v>96</v>
      </c>
      <c r="C113" s="4"/>
      <c r="D113" s="13"/>
    </row>
    <row r="114" spans="1:4" x14ac:dyDescent="0.3">
      <c r="A114" s="11" t="s">
        <v>3</v>
      </c>
      <c r="B114" s="3" t="s">
        <v>87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500</v>
      </c>
      <c r="D120" s="29"/>
    </row>
    <row r="121" spans="1:4" ht="24" x14ac:dyDescent="0.3">
      <c r="A121" s="26" t="s">
        <v>108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57.249999999999993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>
        <v>250</v>
      </c>
    </row>
    <row r="127" spans="1:4" x14ac:dyDescent="0.3">
      <c r="A127" s="26"/>
      <c r="B127" s="27" t="s">
        <v>101</v>
      </c>
      <c r="C127" s="28"/>
      <c r="D127" s="29"/>
    </row>
    <row r="128" spans="1:4" x14ac:dyDescent="0.3">
      <c r="A128" s="26"/>
      <c r="B128" s="27" t="s">
        <v>18</v>
      </c>
      <c r="C128" s="28"/>
      <c r="D128" s="29"/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500</v>
      </c>
      <c r="D131" s="50">
        <f>SUM(D120:D130)</f>
        <v>307.25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192.75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93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8" t="s">
        <v>20</v>
      </c>
      <c r="B149" s="35" t="s">
        <v>21</v>
      </c>
      <c r="C149" s="290" t="s">
        <v>98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97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95</v>
      </c>
      <c r="C162" s="3"/>
      <c r="D162" s="12"/>
    </row>
    <row r="163" spans="1:4" x14ac:dyDescent="0.3">
      <c r="A163" s="11" t="s">
        <v>2</v>
      </c>
      <c r="B163" s="10" t="s">
        <v>96</v>
      </c>
      <c r="C163" s="4"/>
      <c r="D163" s="13"/>
    </row>
    <row r="164" spans="1:4" x14ac:dyDescent="0.3">
      <c r="A164" s="11" t="s">
        <v>3</v>
      </c>
      <c r="B164" s="3" t="s">
        <v>87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500</v>
      </c>
      <c r="D170" s="29"/>
    </row>
    <row r="171" spans="1:4" ht="24" x14ac:dyDescent="0.3">
      <c r="A171" s="26" t="s">
        <v>108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10</v>
      </c>
      <c r="C174" s="28"/>
      <c r="D174" s="29">
        <f>C170*11.45%</f>
        <v>57.249999999999993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55</v>
      </c>
      <c r="C176" s="28"/>
      <c r="D176" s="29">
        <v>250</v>
      </c>
    </row>
    <row r="177" spans="1:4" x14ac:dyDescent="0.3">
      <c r="A177" s="26"/>
      <c r="B177" s="27" t="s">
        <v>101</v>
      </c>
      <c r="C177" s="28"/>
      <c r="D177" s="29"/>
    </row>
    <row r="178" spans="1:4" x14ac:dyDescent="0.3">
      <c r="A178" s="26"/>
      <c r="B178" s="27" t="s">
        <v>18</v>
      </c>
      <c r="C178" s="28"/>
      <c r="D178" s="29"/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500</v>
      </c>
      <c r="D181" s="50">
        <f>SUM(D170:D180)</f>
        <v>307.25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192.75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93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98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97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95</v>
      </c>
      <c r="C212" s="3"/>
      <c r="D212" s="12"/>
    </row>
    <row r="213" spans="1:4" x14ac:dyDescent="0.3">
      <c r="A213" s="11" t="s">
        <v>2</v>
      </c>
      <c r="B213" s="10" t="s">
        <v>96</v>
      </c>
      <c r="C213" s="4"/>
      <c r="D213" s="13"/>
    </row>
    <row r="214" spans="1:4" x14ac:dyDescent="0.3">
      <c r="A214" s="11" t="s">
        <v>3</v>
      </c>
      <c r="B214" s="3" t="s">
        <v>87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500</v>
      </c>
      <c r="D220" s="29"/>
    </row>
    <row r="221" spans="1:4" ht="24" x14ac:dyDescent="0.3">
      <c r="A221" s="26" t="s">
        <v>108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57.249999999999993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55</v>
      </c>
      <c r="C226" s="28"/>
      <c r="D226" s="29">
        <v>250</v>
      </c>
    </row>
    <row r="227" spans="1:4" x14ac:dyDescent="0.3">
      <c r="A227" s="26"/>
      <c r="B227" s="27" t="s">
        <v>101</v>
      </c>
      <c r="C227" s="28"/>
      <c r="D227" s="29"/>
    </row>
    <row r="228" spans="1:4" x14ac:dyDescent="0.3">
      <c r="A228" s="26"/>
      <c r="B228" s="27" t="s">
        <v>18</v>
      </c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500</v>
      </c>
      <c r="D231" s="50">
        <f>SUM(D220:D230)</f>
        <v>307.25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192.75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93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98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97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95</v>
      </c>
      <c r="C262" s="3"/>
      <c r="D262" s="12"/>
    </row>
    <row r="263" spans="1:4" x14ac:dyDescent="0.3">
      <c r="A263" s="11" t="s">
        <v>2</v>
      </c>
      <c r="B263" s="10" t="s">
        <v>96</v>
      </c>
      <c r="C263" s="4"/>
      <c r="D263" s="13"/>
    </row>
    <row r="264" spans="1:4" x14ac:dyDescent="0.3">
      <c r="A264" s="11" t="s">
        <v>3</v>
      </c>
      <c r="B264" s="3" t="s">
        <v>87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500</v>
      </c>
      <c r="D270" s="29"/>
    </row>
    <row r="271" spans="1:4" ht="24" x14ac:dyDescent="0.3">
      <c r="A271" s="26" t="s">
        <v>108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10</v>
      </c>
      <c r="C274" s="28"/>
      <c r="D274" s="29">
        <f>C270*11.45%</f>
        <v>57.249999999999993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55</v>
      </c>
      <c r="C276" s="28"/>
      <c r="D276" s="29">
        <v>250</v>
      </c>
    </row>
    <row r="277" spans="1:4" x14ac:dyDescent="0.3">
      <c r="A277" s="26"/>
      <c r="B277" s="27" t="s">
        <v>101</v>
      </c>
      <c r="C277" s="28"/>
      <c r="D277" s="29"/>
    </row>
    <row r="278" spans="1:4" x14ac:dyDescent="0.3">
      <c r="A278" s="26"/>
      <c r="B278" s="27" t="s">
        <v>18</v>
      </c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500</v>
      </c>
      <c r="D281" s="50">
        <f>SUM(D270:D280)</f>
        <v>307.25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192.75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93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98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97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95</v>
      </c>
      <c r="C312" s="3"/>
      <c r="D312" s="12"/>
    </row>
    <row r="313" spans="1:4" x14ac:dyDescent="0.3">
      <c r="A313" s="11" t="s">
        <v>2</v>
      </c>
      <c r="B313" s="10" t="s">
        <v>96</v>
      </c>
      <c r="C313" s="4"/>
      <c r="D313" s="13"/>
    </row>
    <row r="314" spans="1:4" x14ac:dyDescent="0.3">
      <c r="A314" s="11" t="s">
        <v>3</v>
      </c>
      <c r="B314" s="3" t="s">
        <v>87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500</v>
      </c>
      <c r="D320" s="29"/>
    </row>
    <row r="321" spans="1:4" ht="24" x14ac:dyDescent="0.3">
      <c r="A321" s="26" t="s">
        <v>108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10</v>
      </c>
      <c r="C324" s="28"/>
      <c r="D324" s="29">
        <f>C320*11.45%</f>
        <v>57.249999999999993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55</v>
      </c>
      <c r="C326" s="28"/>
      <c r="D326" s="29"/>
    </row>
    <row r="327" spans="1:4" x14ac:dyDescent="0.3">
      <c r="A327" s="26"/>
      <c r="B327" s="27" t="s">
        <v>101</v>
      </c>
      <c r="C327" s="28"/>
      <c r="D327" s="29"/>
    </row>
    <row r="328" spans="1:4" x14ac:dyDescent="0.3">
      <c r="A328" s="26"/>
      <c r="B328" s="27" t="s">
        <v>18</v>
      </c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500</v>
      </c>
      <c r="D331" s="50">
        <f>SUM(D320:D330)</f>
        <v>57.249999999999993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442.75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93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98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97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95</v>
      </c>
      <c r="C362" s="3"/>
      <c r="D362" s="12"/>
    </row>
    <row r="363" spans="1:4" x14ac:dyDescent="0.3">
      <c r="A363" s="11" t="s">
        <v>2</v>
      </c>
      <c r="B363" s="10" t="s">
        <v>96</v>
      </c>
      <c r="C363" s="4"/>
      <c r="D363" s="13"/>
    </row>
    <row r="364" spans="1:4" x14ac:dyDescent="0.3">
      <c r="A364" s="11" t="s">
        <v>3</v>
      </c>
      <c r="B364" s="3" t="s">
        <v>87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ht="24" x14ac:dyDescent="0.3">
      <c r="A371" s="26" t="s">
        <v>108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10</v>
      </c>
      <c r="C374" s="28"/>
      <c r="D374" s="29">
        <f>C370*11.45%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101</v>
      </c>
      <c r="C377" s="28"/>
      <c r="D377" s="29"/>
    </row>
    <row r="378" spans="1:4" x14ac:dyDescent="0.3">
      <c r="A378" s="26"/>
      <c r="B378" s="27" t="s">
        <v>18</v>
      </c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425</v>
      </c>
      <c r="D381" s="50">
        <f>SUM(D370:D380)</f>
        <v>0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425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93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98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97</v>
      </c>
      <c r="D400" s="293"/>
    </row>
    <row r="405" spans="1:4" ht="15" thickBot="1" x14ac:dyDescent="0.35"/>
    <row r="406" spans="1:4" ht="25.2" x14ac:dyDescent="0.3">
      <c r="A406" s="294"/>
      <c r="B406" s="295"/>
      <c r="C406" s="295"/>
      <c r="D406" s="296"/>
    </row>
    <row r="407" spans="1:4" x14ac:dyDescent="0.3">
      <c r="A407" s="31"/>
      <c r="B407" s="48"/>
      <c r="C407" s="2"/>
      <c r="D407" s="30"/>
    </row>
    <row r="408" spans="1:4" x14ac:dyDescent="0.3">
      <c r="A408" s="31"/>
      <c r="B408" s="49"/>
      <c r="C408" s="2"/>
      <c r="D408" s="30"/>
    </row>
    <row r="409" spans="1:4" x14ac:dyDescent="0.3">
      <c r="A409" s="31"/>
      <c r="B409" s="49"/>
      <c r="C409" s="2"/>
      <c r="D409" s="30"/>
    </row>
    <row r="410" spans="1:4" ht="15" thickBot="1" x14ac:dyDescent="0.35">
      <c r="A410" s="31"/>
      <c r="B410" s="2"/>
      <c r="C410" s="2"/>
      <c r="D410" s="30"/>
    </row>
    <row r="411" spans="1:4" ht="25.8" thickBot="1" x14ac:dyDescent="0.35">
      <c r="A411" s="297" t="s">
        <v>0</v>
      </c>
      <c r="B411" s="298"/>
      <c r="C411" s="298"/>
      <c r="D411" s="299"/>
    </row>
    <row r="412" spans="1:4" ht="25.2" x14ac:dyDescent="0.3">
      <c r="A412" s="52"/>
      <c r="B412" s="53"/>
      <c r="C412" s="53"/>
      <c r="D412" s="54"/>
    </row>
    <row r="413" spans="1:4" x14ac:dyDescent="0.3">
      <c r="A413" s="11" t="s">
        <v>1</v>
      </c>
      <c r="B413" s="3" t="s">
        <v>95</v>
      </c>
      <c r="C413" s="3"/>
      <c r="D413" s="12"/>
    </row>
    <row r="414" spans="1:4" x14ac:dyDescent="0.3">
      <c r="A414" s="11" t="s">
        <v>2</v>
      </c>
      <c r="B414" s="10" t="s">
        <v>96</v>
      </c>
      <c r="C414" s="4"/>
      <c r="D414" s="13"/>
    </row>
    <row r="415" spans="1:4" x14ac:dyDescent="0.3">
      <c r="A415" s="11" t="s">
        <v>3</v>
      </c>
      <c r="B415" s="3" t="s">
        <v>87</v>
      </c>
      <c r="C415" s="4"/>
      <c r="D415" s="14"/>
    </row>
    <row r="416" spans="1:4" x14ac:dyDescent="0.3">
      <c r="A416" s="11" t="s">
        <v>26</v>
      </c>
      <c r="B416" s="3" t="s">
        <v>134</v>
      </c>
      <c r="C416" s="4"/>
      <c r="D416" s="15"/>
    </row>
    <row r="417" spans="1:4" x14ac:dyDescent="0.3">
      <c r="A417" s="11" t="s">
        <v>99</v>
      </c>
      <c r="B417" s="55">
        <v>2022</v>
      </c>
      <c r="C417" s="4"/>
      <c r="D417" s="15"/>
    </row>
    <row r="418" spans="1:4" x14ac:dyDescent="0.3">
      <c r="A418" s="16"/>
      <c r="B418" s="5"/>
      <c r="C418" s="5"/>
      <c r="D418" s="17"/>
    </row>
    <row r="419" spans="1:4" x14ac:dyDescent="0.3">
      <c r="A419" s="39" t="s">
        <v>4</v>
      </c>
      <c r="B419" s="40"/>
      <c r="C419" s="41" t="s">
        <v>5</v>
      </c>
      <c r="D419" s="42" t="s">
        <v>6</v>
      </c>
    </row>
    <row r="420" spans="1:4" x14ac:dyDescent="0.3">
      <c r="A420" s="18"/>
      <c r="B420" s="6"/>
      <c r="C420" s="7"/>
      <c r="D420" s="19"/>
    </row>
    <row r="421" spans="1:4" x14ac:dyDescent="0.3">
      <c r="A421" s="26" t="s">
        <v>16</v>
      </c>
      <c r="B421" s="27"/>
      <c r="C421" s="28">
        <v>500</v>
      </c>
      <c r="D421" s="29"/>
    </row>
    <row r="422" spans="1:4" ht="24" x14ac:dyDescent="0.3">
      <c r="A422" s="26" t="s">
        <v>108</v>
      </c>
      <c r="B422" s="27"/>
      <c r="C422" s="28"/>
      <c r="D422" s="29"/>
    </row>
    <row r="423" spans="1:4" x14ac:dyDescent="0.3">
      <c r="A423" s="26" t="s">
        <v>8</v>
      </c>
      <c r="B423" s="27"/>
      <c r="C423" s="28"/>
      <c r="D423" s="29"/>
    </row>
    <row r="424" spans="1:4" x14ac:dyDescent="0.3">
      <c r="A424" s="26" t="s">
        <v>9</v>
      </c>
      <c r="B424" s="27"/>
      <c r="C424" s="28"/>
      <c r="D424" s="29"/>
    </row>
    <row r="425" spans="1:4" x14ac:dyDescent="0.3">
      <c r="A425" s="26"/>
      <c r="B425" s="27" t="s">
        <v>10</v>
      </c>
      <c r="C425" s="28"/>
      <c r="D425" s="29">
        <f>C421*11.45%</f>
        <v>57.249999999999993</v>
      </c>
    </row>
    <row r="426" spans="1:4" x14ac:dyDescent="0.3">
      <c r="A426" s="26"/>
      <c r="B426" s="27" t="s">
        <v>11</v>
      </c>
      <c r="C426" s="28"/>
      <c r="D426" s="29"/>
    </row>
    <row r="427" spans="1:4" x14ac:dyDescent="0.3">
      <c r="A427" s="26"/>
      <c r="B427" s="27" t="s">
        <v>55</v>
      </c>
      <c r="C427" s="28"/>
      <c r="D427" s="29">
        <v>250</v>
      </c>
    </row>
    <row r="428" spans="1:4" x14ac:dyDescent="0.3">
      <c r="A428" s="26"/>
      <c r="B428" s="27" t="s">
        <v>101</v>
      </c>
      <c r="C428" s="28"/>
      <c r="D428" s="29"/>
    </row>
    <row r="429" spans="1:4" x14ac:dyDescent="0.3">
      <c r="A429" s="26"/>
      <c r="B429" s="27" t="s">
        <v>18</v>
      </c>
      <c r="C429" s="28"/>
      <c r="D429" s="29"/>
    </row>
    <row r="430" spans="1:4" x14ac:dyDescent="0.3">
      <c r="A430" s="26"/>
      <c r="B430" s="27"/>
      <c r="C430" s="28"/>
      <c r="D430" s="29"/>
    </row>
    <row r="431" spans="1:4" x14ac:dyDescent="0.3">
      <c r="A431" s="21"/>
      <c r="B431" s="8"/>
      <c r="C431" s="1"/>
      <c r="D431" s="20"/>
    </row>
    <row r="432" spans="1:4" x14ac:dyDescent="0.3">
      <c r="A432" s="43"/>
      <c r="B432" s="44" t="s">
        <v>12</v>
      </c>
      <c r="C432" s="46">
        <f>SUM(C421:C431)</f>
        <v>500</v>
      </c>
      <c r="D432" s="50">
        <f>SUM(D421:D431)</f>
        <v>307.25</v>
      </c>
    </row>
    <row r="433" spans="1:4" x14ac:dyDescent="0.3">
      <c r="A433" s="21"/>
      <c r="B433" s="3"/>
      <c r="C433" s="3"/>
      <c r="D433" s="22"/>
    </row>
    <row r="434" spans="1:4" ht="28.2" x14ac:dyDescent="0.3">
      <c r="A434" s="21"/>
      <c r="B434" s="45"/>
      <c r="C434" s="47" t="s">
        <v>13</v>
      </c>
      <c r="D434" s="51">
        <f>+C432-D432</f>
        <v>192.75</v>
      </c>
    </row>
    <row r="435" spans="1:4" x14ac:dyDescent="0.3">
      <c r="A435" s="21"/>
      <c r="B435" s="3"/>
      <c r="C435" s="3"/>
      <c r="D435" s="22"/>
    </row>
    <row r="436" spans="1:4" x14ac:dyDescent="0.3">
      <c r="A436" s="23"/>
      <c r="B436" s="4" t="s">
        <v>14</v>
      </c>
      <c r="C436" s="2"/>
      <c r="D436" s="24"/>
    </row>
    <row r="437" spans="1:4" ht="15" thickBot="1" x14ac:dyDescent="0.35">
      <c r="A437" s="23"/>
      <c r="B437" s="9"/>
      <c r="C437" s="9"/>
      <c r="D437" s="24"/>
    </row>
    <row r="438" spans="1:4" x14ac:dyDescent="0.3">
      <c r="A438" s="300" t="s">
        <v>28</v>
      </c>
      <c r="B438" s="300" t="s">
        <v>93</v>
      </c>
      <c r="C438" s="302" t="s">
        <v>30</v>
      </c>
      <c r="D438" s="303"/>
    </row>
    <row r="439" spans="1:4" ht="15" thickBot="1" x14ac:dyDescent="0.35">
      <c r="A439" s="301"/>
      <c r="B439" s="301"/>
      <c r="C439" s="304"/>
      <c r="D439" s="30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7"/>
      <c r="B449" s="34"/>
      <c r="C449" s="32"/>
      <c r="D449" s="25"/>
    </row>
    <row r="450" spans="1:4" x14ac:dyDescent="0.3">
      <c r="A450" s="38" t="s">
        <v>20</v>
      </c>
      <c r="B450" s="35" t="s">
        <v>21</v>
      </c>
      <c r="C450" s="290" t="s">
        <v>98</v>
      </c>
      <c r="D450" s="291"/>
    </row>
    <row r="451" spans="1:4" ht="15" thickBot="1" x14ac:dyDescent="0.35">
      <c r="A451" s="36" t="s">
        <v>22</v>
      </c>
      <c r="B451" s="33" t="s">
        <v>23</v>
      </c>
      <c r="C451" s="292" t="s">
        <v>97</v>
      </c>
      <c r="D451" s="293"/>
    </row>
  </sheetData>
  <mergeCells count="63">
    <mergeCell ref="C450:D450"/>
    <mergeCell ref="C451:D451"/>
    <mergeCell ref="A406:D406"/>
    <mergeCell ref="A411:D411"/>
    <mergeCell ref="A438:A439"/>
    <mergeCell ref="B438:B439"/>
    <mergeCell ref="C438:D439"/>
    <mergeCell ref="C349:D349"/>
    <mergeCell ref="C350:D350"/>
    <mergeCell ref="A305:D305"/>
    <mergeCell ref="A310:D310"/>
    <mergeCell ref="A337:A338"/>
    <mergeCell ref="B337:B338"/>
    <mergeCell ref="C337:D33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8:D98"/>
    <mergeCell ref="C99:D99"/>
    <mergeCell ref="A54:D54"/>
    <mergeCell ref="A59:D59"/>
    <mergeCell ref="A86:A87"/>
    <mergeCell ref="B86:B87"/>
    <mergeCell ref="C86:D87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99:D399"/>
    <mergeCell ref="C400:D400"/>
    <mergeCell ref="A355:D355"/>
    <mergeCell ref="A360:D360"/>
    <mergeCell ref="A387:A388"/>
    <mergeCell ref="B387:B388"/>
    <mergeCell ref="C387:D388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D450"/>
  <sheetViews>
    <sheetView topLeftCell="A133" zoomScale="90" zoomScaleNormal="90" workbookViewId="0"/>
  </sheetViews>
  <sheetFormatPr baseColWidth="10" defaultRowHeight="14.4" x14ac:dyDescent="0.3"/>
  <cols>
    <col min="1" max="1" width="35.5546875" customWidth="1"/>
    <col min="2" max="2" width="36.109375" customWidth="1"/>
    <col min="3" max="3" width="17.33203125" customWidth="1"/>
    <col min="4" max="4" width="17.6640625" customWidth="1"/>
    <col min="5" max="5" width="32.1093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88</v>
      </c>
      <c r="C9" s="3"/>
      <c r="D9" s="12"/>
    </row>
    <row r="10" spans="1:4" x14ac:dyDescent="0.3">
      <c r="A10" s="11" t="s">
        <v>2</v>
      </c>
      <c r="B10" s="10" t="s">
        <v>89</v>
      </c>
      <c r="C10" s="4"/>
      <c r="D10" s="13"/>
    </row>
    <row r="11" spans="1:4" x14ac:dyDescent="0.3">
      <c r="A11" s="11" t="s">
        <v>3</v>
      </c>
      <c r="B11" s="3" t="s">
        <v>90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4" x14ac:dyDescent="0.3">
      <c r="A17" s="26" t="s">
        <v>16</v>
      </c>
      <c r="B17" s="27"/>
      <c r="C17" s="28">
        <v>527</v>
      </c>
      <c r="D17" s="29"/>
    </row>
    <row r="18" spans="1:4" x14ac:dyDescent="0.3">
      <c r="A18" s="26" t="s">
        <v>100</v>
      </c>
      <c r="B18" s="27"/>
      <c r="C18" s="56"/>
      <c r="D18" s="29"/>
    </row>
    <row r="19" spans="1:4" x14ac:dyDescent="0.3">
      <c r="A19" s="26" t="s">
        <v>8</v>
      </c>
      <c r="B19" s="27"/>
      <c r="C19" s="28"/>
      <c r="D19" s="29"/>
    </row>
    <row r="20" spans="1:4" x14ac:dyDescent="0.3">
      <c r="A20" s="26" t="s">
        <v>9</v>
      </c>
      <c r="B20" s="27"/>
      <c r="C20" s="28"/>
      <c r="D20" s="29"/>
    </row>
    <row r="21" spans="1:4" x14ac:dyDescent="0.3">
      <c r="A21" s="26"/>
      <c r="B21" s="27" t="s">
        <v>19</v>
      </c>
      <c r="C21" s="28"/>
      <c r="D21" s="29">
        <f>C17*9.45%</f>
        <v>49.80149999999999</v>
      </c>
    </row>
    <row r="22" spans="1:4" x14ac:dyDescent="0.3">
      <c r="A22" s="26"/>
      <c r="B22" s="27" t="s">
        <v>11</v>
      </c>
      <c r="C22" s="28"/>
      <c r="D22" s="29"/>
    </row>
    <row r="23" spans="1:4" x14ac:dyDescent="0.3">
      <c r="A23" s="26"/>
      <c r="B23" s="27" t="s">
        <v>55</v>
      </c>
      <c r="C23" s="28"/>
      <c r="D23" s="29"/>
    </row>
    <row r="24" spans="1:4" x14ac:dyDescent="0.3">
      <c r="A24" s="26"/>
      <c r="B24" s="27" t="s">
        <v>18</v>
      </c>
      <c r="C24" s="28"/>
      <c r="D24" s="29">
        <v>65</v>
      </c>
    </row>
    <row r="25" spans="1:4" x14ac:dyDescent="0.3">
      <c r="A25" s="26"/>
      <c r="B25" s="27"/>
      <c r="C25" s="28"/>
      <c r="D25" s="29"/>
    </row>
    <row r="26" spans="1:4" x14ac:dyDescent="0.3">
      <c r="A26" s="26"/>
      <c r="B26" s="27"/>
      <c r="C26" s="28"/>
      <c r="D26" s="29"/>
    </row>
    <row r="27" spans="1:4" x14ac:dyDescent="0.3">
      <c r="A27" s="21"/>
      <c r="B27" s="8"/>
      <c r="C27" s="1"/>
      <c r="D27" s="20"/>
    </row>
    <row r="28" spans="1:4" x14ac:dyDescent="0.3">
      <c r="A28" s="43"/>
      <c r="B28" s="44" t="s">
        <v>12</v>
      </c>
      <c r="C28" s="46">
        <f>SUM(C17:C27)</f>
        <v>527</v>
      </c>
      <c r="D28" s="50">
        <f>SUM(D17:D27)</f>
        <v>114.80149999999999</v>
      </c>
    </row>
    <row r="29" spans="1:4" x14ac:dyDescent="0.3">
      <c r="A29" s="21"/>
      <c r="B29" s="3"/>
      <c r="C29" s="3"/>
      <c r="D29" s="22"/>
    </row>
    <row r="30" spans="1:4" ht="28.2" x14ac:dyDescent="0.3">
      <c r="A30" s="21"/>
      <c r="B30" s="45"/>
      <c r="C30" s="47" t="s">
        <v>13</v>
      </c>
      <c r="D30" s="51">
        <f>+C28-D28</f>
        <v>412.19850000000002</v>
      </c>
    </row>
    <row r="31" spans="1:4" x14ac:dyDescent="0.3">
      <c r="A31" s="21"/>
      <c r="B31" s="3"/>
      <c r="C31" s="3"/>
      <c r="D31" s="22"/>
    </row>
    <row r="32" spans="1:4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91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92</v>
      </c>
      <c r="D47" s="293"/>
    </row>
    <row r="52" spans="1:4" ht="15" thickBot="1" x14ac:dyDescent="0.35"/>
    <row r="53" spans="1:4" ht="25.2" x14ac:dyDescent="0.3">
      <c r="A53" s="294"/>
      <c r="B53" s="295"/>
      <c r="C53" s="295"/>
      <c r="D53" s="296"/>
    </row>
    <row r="54" spans="1:4" x14ac:dyDescent="0.3">
      <c r="A54" s="31"/>
      <c r="B54" s="48"/>
      <c r="C54" s="2"/>
      <c r="D54" s="30"/>
    </row>
    <row r="55" spans="1:4" x14ac:dyDescent="0.3">
      <c r="A55" s="31"/>
      <c r="B55" s="49"/>
      <c r="C55" s="2"/>
      <c r="D55" s="30"/>
    </row>
    <row r="56" spans="1:4" x14ac:dyDescent="0.3">
      <c r="A56" s="31"/>
      <c r="B56" s="49"/>
      <c r="C56" s="2"/>
      <c r="D56" s="30"/>
    </row>
    <row r="57" spans="1:4" ht="15" thickBot="1" x14ac:dyDescent="0.35">
      <c r="A57" s="31"/>
      <c r="B57" s="2"/>
      <c r="C57" s="2"/>
      <c r="D57" s="30"/>
    </row>
    <row r="58" spans="1:4" ht="25.8" thickBot="1" x14ac:dyDescent="0.35">
      <c r="A58" s="297" t="s">
        <v>0</v>
      </c>
      <c r="B58" s="298"/>
      <c r="C58" s="298"/>
      <c r="D58" s="299"/>
    </row>
    <row r="59" spans="1:4" ht="25.2" x14ac:dyDescent="0.3">
      <c r="A59" s="52"/>
      <c r="B59" s="53"/>
      <c r="C59" s="53"/>
      <c r="D59" s="54"/>
    </row>
    <row r="60" spans="1:4" x14ac:dyDescent="0.3">
      <c r="A60" s="11" t="s">
        <v>1</v>
      </c>
      <c r="B60" s="3" t="s">
        <v>88</v>
      </c>
      <c r="C60" s="3"/>
      <c r="D60" s="12"/>
    </row>
    <row r="61" spans="1:4" x14ac:dyDescent="0.3">
      <c r="A61" s="11" t="s">
        <v>2</v>
      </c>
      <c r="B61" s="10" t="s">
        <v>89</v>
      </c>
      <c r="C61" s="4"/>
      <c r="D61" s="13"/>
    </row>
    <row r="62" spans="1:4" x14ac:dyDescent="0.3">
      <c r="A62" s="11" t="s">
        <v>3</v>
      </c>
      <c r="B62" s="3" t="s">
        <v>90</v>
      </c>
      <c r="C62" s="4"/>
      <c r="D62" s="14"/>
    </row>
    <row r="63" spans="1:4" x14ac:dyDescent="0.3">
      <c r="A63" s="11" t="s">
        <v>26</v>
      </c>
      <c r="B63" s="3" t="s">
        <v>112</v>
      </c>
      <c r="C63" s="4"/>
      <c r="D63" s="15"/>
    </row>
    <row r="64" spans="1:4" x14ac:dyDescent="0.3">
      <c r="A64" s="11" t="s">
        <v>99</v>
      </c>
      <c r="B64" s="55">
        <v>2022</v>
      </c>
      <c r="C64" s="4"/>
      <c r="D64" s="15"/>
    </row>
    <row r="65" spans="1:4" x14ac:dyDescent="0.3">
      <c r="A65" s="16"/>
      <c r="B65" s="5"/>
      <c r="C65" s="5"/>
      <c r="D65" s="17"/>
    </row>
    <row r="66" spans="1:4" x14ac:dyDescent="0.3">
      <c r="A66" s="39" t="s">
        <v>4</v>
      </c>
      <c r="B66" s="40"/>
      <c r="C66" s="41" t="s">
        <v>5</v>
      </c>
      <c r="D66" s="42" t="s">
        <v>6</v>
      </c>
    </row>
    <row r="67" spans="1:4" x14ac:dyDescent="0.3">
      <c r="A67" s="18"/>
      <c r="B67" s="6"/>
      <c r="C67" s="7"/>
      <c r="D67" s="19"/>
    </row>
    <row r="68" spans="1:4" x14ac:dyDescent="0.3">
      <c r="A68" s="26" t="s">
        <v>16</v>
      </c>
      <c r="B68" s="27"/>
      <c r="C68" s="28">
        <v>527</v>
      </c>
      <c r="D68" s="29"/>
    </row>
    <row r="69" spans="1:4" x14ac:dyDescent="0.3">
      <c r="A69" s="26" t="s">
        <v>100</v>
      </c>
      <c r="B69" s="27"/>
      <c r="C69" s="56"/>
      <c r="D69" s="29"/>
    </row>
    <row r="70" spans="1:4" x14ac:dyDescent="0.3">
      <c r="A70" s="26" t="s">
        <v>8</v>
      </c>
      <c r="B70" s="27"/>
      <c r="C70" s="28"/>
      <c r="D70" s="29"/>
    </row>
    <row r="71" spans="1:4" x14ac:dyDescent="0.3">
      <c r="A71" s="26" t="s">
        <v>9</v>
      </c>
      <c r="B71" s="27"/>
      <c r="C71" s="28"/>
      <c r="D71" s="29"/>
    </row>
    <row r="72" spans="1:4" x14ac:dyDescent="0.3">
      <c r="A72" s="26"/>
      <c r="B72" s="27" t="s">
        <v>19</v>
      </c>
      <c r="C72" s="28"/>
      <c r="D72" s="29">
        <f>C68*9.45%</f>
        <v>49.80149999999999</v>
      </c>
    </row>
    <row r="73" spans="1:4" x14ac:dyDescent="0.3">
      <c r="A73" s="26"/>
      <c r="B73" s="27" t="s">
        <v>11</v>
      </c>
      <c r="C73" s="28"/>
      <c r="D73" s="29"/>
    </row>
    <row r="74" spans="1:4" x14ac:dyDescent="0.3">
      <c r="A74" s="26"/>
      <c r="B74" s="27" t="s">
        <v>55</v>
      </c>
      <c r="C74" s="28"/>
      <c r="D74" s="29"/>
    </row>
    <row r="75" spans="1:4" x14ac:dyDescent="0.3">
      <c r="A75" s="26"/>
      <c r="B75" s="27" t="s">
        <v>18</v>
      </c>
      <c r="C75" s="28"/>
      <c r="D75" s="29"/>
    </row>
    <row r="76" spans="1:4" x14ac:dyDescent="0.3">
      <c r="A76" s="26"/>
      <c r="B76" s="27"/>
      <c r="C76" s="28"/>
      <c r="D76" s="29"/>
    </row>
    <row r="77" spans="1:4" x14ac:dyDescent="0.3">
      <c r="A77" s="26"/>
      <c r="B77" s="27"/>
      <c r="C77" s="28"/>
      <c r="D77" s="29"/>
    </row>
    <row r="78" spans="1:4" x14ac:dyDescent="0.3">
      <c r="A78" s="21"/>
      <c r="B78" s="8"/>
      <c r="C78" s="1"/>
      <c r="D78" s="20"/>
    </row>
    <row r="79" spans="1:4" x14ac:dyDescent="0.3">
      <c r="A79" s="43"/>
      <c r="B79" s="44" t="s">
        <v>12</v>
      </c>
      <c r="C79" s="46">
        <f>SUM(C68:C78)</f>
        <v>527</v>
      </c>
      <c r="D79" s="50">
        <f>SUM(D68:D78)</f>
        <v>49.80149999999999</v>
      </c>
    </row>
    <row r="80" spans="1:4" x14ac:dyDescent="0.3">
      <c r="A80" s="21"/>
      <c r="B80" s="3"/>
      <c r="C80" s="3"/>
      <c r="D80" s="22"/>
    </row>
    <row r="81" spans="1:4" ht="28.2" x14ac:dyDescent="0.3">
      <c r="A81" s="21"/>
      <c r="B81" s="45"/>
      <c r="C81" s="47" t="s">
        <v>13</v>
      </c>
      <c r="D81" s="51">
        <f>+C79-D79</f>
        <v>477.19850000000002</v>
      </c>
    </row>
    <row r="82" spans="1:4" x14ac:dyDescent="0.3">
      <c r="A82" s="21"/>
      <c r="B82" s="3"/>
      <c r="C82" s="3"/>
      <c r="D82" s="22"/>
    </row>
    <row r="83" spans="1:4" x14ac:dyDescent="0.3">
      <c r="A83" s="23"/>
      <c r="B83" s="4" t="s">
        <v>14</v>
      </c>
      <c r="C83" s="2"/>
      <c r="D83" s="24"/>
    </row>
    <row r="84" spans="1:4" ht="15" thickBot="1" x14ac:dyDescent="0.35">
      <c r="A84" s="23"/>
      <c r="B84" s="9"/>
      <c r="C84" s="9"/>
      <c r="D84" s="24"/>
    </row>
    <row r="85" spans="1:4" x14ac:dyDescent="0.3">
      <c r="A85" s="300" t="s">
        <v>28</v>
      </c>
      <c r="B85" s="300" t="s">
        <v>93</v>
      </c>
      <c r="C85" s="302" t="s">
        <v>30</v>
      </c>
      <c r="D85" s="303"/>
    </row>
    <row r="86" spans="1:4" ht="15" thickBot="1" x14ac:dyDescent="0.35">
      <c r="A86" s="301"/>
      <c r="B86" s="301"/>
      <c r="C86" s="304"/>
      <c r="D86" s="305"/>
    </row>
    <row r="87" spans="1:4" x14ac:dyDescent="0.3">
      <c r="A87" s="37"/>
      <c r="B87" s="34"/>
      <c r="C87" s="32"/>
      <c r="D87" s="2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8" t="s">
        <v>20</v>
      </c>
      <c r="B97" s="35" t="s">
        <v>21</v>
      </c>
      <c r="C97" s="290" t="s">
        <v>91</v>
      </c>
      <c r="D97" s="291"/>
    </row>
    <row r="98" spans="1:4" ht="15" thickBot="1" x14ac:dyDescent="0.35">
      <c r="A98" s="36" t="s">
        <v>22</v>
      </c>
      <c r="B98" s="33" t="s">
        <v>23</v>
      </c>
      <c r="C98" s="292" t="s">
        <v>92</v>
      </c>
      <c r="D98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88</v>
      </c>
      <c r="C112" s="3"/>
      <c r="D112" s="12"/>
    </row>
    <row r="113" spans="1:4" x14ac:dyDescent="0.3">
      <c r="A113" s="11" t="s">
        <v>2</v>
      </c>
      <c r="B113" s="10" t="s">
        <v>89</v>
      </c>
      <c r="C113" s="4"/>
      <c r="D113" s="13"/>
    </row>
    <row r="114" spans="1:4" x14ac:dyDescent="0.3">
      <c r="A114" s="11" t="s">
        <v>3</v>
      </c>
      <c r="B114" s="3" t="s">
        <v>90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527</v>
      </c>
      <c r="D120" s="29"/>
    </row>
    <row r="121" spans="1:4" x14ac:dyDescent="0.3">
      <c r="A121" s="26" t="s">
        <v>100</v>
      </c>
      <c r="B121" s="27"/>
      <c r="C121" s="56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19</v>
      </c>
      <c r="C124" s="28"/>
      <c r="D124" s="29">
        <f>C120*9.45%</f>
        <v>49.80149999999999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/>
    </row>
    <row r="127" spans="1:4" x14ac:dyDescent="0.3">
      <c r="A127" s="26"/>
      <c r="B127" s="27" t="s">
        <v>18</v>
      </c>
      <c r="C127" s="28"/>
      <c r="D127" s="29"/>
    </row>
    <row r="128" spans="1:4" x14ac:dyDescent="0.3">
      <c r="A128" s="26"/>
      <c r="B128" s="27"/>
      <c r="C128" s="28"/>
      <c r="D128" s="29"/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527</v>
      </c>
      <c r="D131" s="50">
        <f>SUM(D120:D130)</f>
        <v>49.80149999999999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477.19850000000002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93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8" t="s">
        <v>20</v>
      </c>
      <c r="B149" s="35" t="s">
        <v>21</v>
      </c>
      <c r="C149" s="290" t="s">
        <v>91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92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88</v>
      </c>
      <c r="C162" s="3"/>
      <c r="D162" s="12"/>
    </row>
    <row r="163" spans="1:4" x14ac:dyDescent="0.3">
      <c r="A163" s="11" t="s">
        <v>2</v>
      </c>
      <c r="B163" s="10" t="s">
        <v>89</v>
      </c>
      <c r="C163" s="4"/>
      <c r="D163" s="13"/>
    </row>
    <row r="164" spans="1:4" x14ac:dyDescent="0.3">
      <c r="A164" s="11" t="s">
        <v>3</v>
      </c>
      <c r="B164" s="3" t="s">
        <v>90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527</v>
      </c>
      <c r="D170" s="29"/>
    </row>
    <row r="171" spans="1:4" x14ac:dyDescent="0.3">
      <c r="A171" s="26" t="s">
        <v>100</v>
      </c>
      <c r="B171" s="27"/>
      <c r="C171" s="56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19</v>
      </c>
      <c r="C174" s="28"/>
      <c r="D174" s="29">
        <f>C170*9.45%</f>
        <v>49.80149999999999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55</v>
      </c>
      <c r="C176" s="28"/>
      <c r="D176" s="29"/>
    </row>
    <row r="177" spans="1:4" x14ac:dyDescent="0.3">
      <c r="A177" s="26"/>
      <c r="B177" s="27" t="s">
        <v>18</v>
      </c>
      <c r="C177" s="28"/>
      <c r="D177" s="29"/>
    </row>
    <row r="178" spans="1:4" x14ac:dyDescent="0.3">
      <c r="A178" s="26"/>
      <c r="B178" s="27"/>
      <c r="C178" s="28"/>
      <c r="D178" s="29"/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527</v>
      </c>
      <c r="D181" s="50">
        <f>SUM(D170:D180)</f>
        <v>49.80149999999999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477.19850000000002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93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91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92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88</v>
      </c>
      <c r="C212" s="3"/>
      <c r="D212" s="12"/>
    </row>
    <row r="213" spans="1:4" x14ac:dyDescent="0.3">
      <c r="A213" s="11" t="s">
        <v>2</v>
      </c>
      <c r="B213" s="10" t="s">
        <v>89</v>
      </c>
      <c r="C213" s="4"/>
      <c r="D213" s="13"/>
    </row>
    <row r="214" spans="1:4" x14ac:dyDescent="0.3">
      <c r="A214" s="11" t="s">
        <v>3</v>
      </c>
      <c r="B214" s="3" t="s">
        <v>90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527</v>
      </c>
      <c r="D220" s="29"/>
    </row>
    <row r="221" spans="1:4" x14ac:dyDescent="0.3">
      <c r="A221" s="26" t="s">
        <v>100</v>
      </c>
      <c r="B221" s="27"/>
      <c r="C221" s="56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19</v>
      </c>
      <c r="C224" s="28"/>
      <c r="D224" s="29">
        <f>C220*9.45%</f>
        <v>49.80149999999999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55</v>
      </c>
      <c r="C226" s="28"/>
      <c r="D226" s="29"/>
    </row>
    <row r="227" spans="1:4" x14ac:dyDescent="0.3">
      <c r="A227" s="26"/>
      <c r="B227" s="27" t="s">
        <v>18</v>
      </c>
      <c r="C227" s="28"/>
      <c r="D227" s="29"/>
    </row>
    <row r="228" spans="1:4" x14ac:dyDescent="0.3">
      <c r="A228" s="26"/>
      <c r="B228" s="27"/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527</v>
      </c>
      <c r="D231" s="50">
        <f>SUM(D220:D230)</f>
        <v>49.80149999999999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477.19850000000002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93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91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92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88</v>
      </c>
      <c r="C262" s="3"/>
      <c r="D262" s="12"/>
    </row>
    <row r="263" spans="1:4" x14ac:dyDescent="0.3">
      <c r="A263" s="11" t="s">
        <v>2</v>
      </c>
      <c r="B263" s="10" t="s">
        <v>89</v>
      </c>
      <c r="C263" s="4"/>
      <c r="D263" s="13"/>
    </row>
    <row r="264" spans="1:4" x14ac:dyDescent="0.3">
      <c r="A264" s="11" t="s">
        <v>3</v>
      </c>
      <c r="B264" s="3" t="s">
        <v>90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527</v>
      </c>
      <c r="D270" s="29"/>
    </row>
    <row r="271" spans="1:4" x14ac:dyDescent="0.3">
      <c r="A271" s="26" t="s">
        <v>100</v>
      </c>
      <c r="B271" s="27"/>
      <c r="C271" s="56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19</v>
      </c>
      <c r="C274" s="28"/>
      <c r="D274" s="29">
        <f>C270*9.45%</f>
        <v>49.80149999999999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55</v>
      </c>
      <c r="C276" s="28"/>
      <c r="D276" s="29"/>
    </row>
    <row r="277" spans="1:4" x14ac:dyDescent="0.3">
      <c r="A277" s="26"/>
      <c r="B277" s="27" t="s">
        <v>18</v>
      </c>
      <c r="C277" s="28"/>
      <c r="D277" s="29"/>
    </row>
    <row r="278" spans="1:4" x14ac:dyDescent="0.3">
      <c r="A278" s="26"/>
      <c r="B278" s="27"/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527</v>
      </c>
      <c r="D281" s="50">
        <f>SUM(D270:D280)</f>
        <v>49.80149999999999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477.19850000000002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93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91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92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88</v>
      </c>
      <c r="C312" s="3"/>
      <c r="D312" s="12"/>
    </row>
    <row r="313" spans="1:4" x14ac:dyDescent="0.3">
      <c r="A313" s="11" t="s">
        <v>2</v>
      </c>
      <c r="B313" s="10" t="s">
        <v>89</v>
      </c>
      <c r="C313" s="4"/>
      <c r="D313" s="13"/>
    </row>
    <row r="314" spans="1:4" x14ac:dyDescent="0.3">
      <c r="A314" s="11" t="s">
        <v>3</v>
      </c>
      <c r="B314" s="3" t="s">
        <v>90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527</v>
      </c>
      <c r="D320" s="29"/>
    </row>
    <row r="321" spans="1:4" x14ac:dyDescent="0.3">
      <c r="A321" s="26" t="s">
        <v>100</v>
      </c>
      <c r="B321" s="27"/>
      <c r="C321" s="56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19</v>
      </c>
      <c r="C324" s="28"/>
      <c r="D324" s="29">
        <f>C320*9.45%</f>
        <v>49.80149999999999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55</v>
      </c>
      <c r="C326" s="28"/>
      <c r="D326" s="29"/>
    </row>
    <row r="327" spans="1:4" x14ac:dyDescent="0.3">
      <c r="A327" s="26"/>
      <c r="B327" s="27" t="s">
        <v>18</v>
      </c>
      <c r="C327" s="28"/>
      <c r="D327" s="29"/>
    </row>
    <row r="328" spans="1:4" x14ac:dyDescent="0.3">
      <c r="A328" s="26"/>
      <c r="B328" s="27"/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527</v>
      </c>
      <c r="D331" s="50">
        <f>SUM(D320:D330)</f>
        <v>49.80149999999999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477.19850000000002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93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91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92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88</v>
      </c>
      <c r="C362" s="3"/>
      <c r="D362" s="12"/>
    </row>
    <row r="363" spans="1:4" x14ac:dyDescent="0.3">
      <c r="A363" s="11" t="s">
        <v>2</v>
      </c>
      <c r="B363" s="10" t="s">
        <v>89</v>
      </c>
      <c r="C363" s="4"/>
      <c r="D363" s="13"/>
    </row>
    <row r="364" spans="1:4" x14ac:dyDescent="0.3">
      <c r="A364" s="11" t="s">
        <v>3</v>
      </c>
      <c r="B364" s="3" t="s">
        <v>90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x14ac:dyDescent="0.3">
      <c r="A371" s="26" t="s">
        <v>100</v>
      </c>
      <c r="B371" s="27"/>
      <c r="C371" s="56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19</v>
      </c>
      <c r="C374" s="28"/>
      <c r="D374" s="29">
        <f>C370*9.45%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18</v>
      </c>
      <c r="C377" s="28"/>
      <c r="D377" s="29"/>
    </row>
    <row r="378" spans="1:4" x14ac:dyDescent="0.3">
      <c r="A378" s="26"/>
      <c r="B378" s="27"/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425</v>
      </c>
      <c r="D381" s="50">
        <f>SUM(D370:D380)</f>
        <v>0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425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93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91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92</v>
      </c>
      <c r="D400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88</v>
      </c>
      <c r="C412" s="3"/>
      <c r="D412" s="12"/>
    </row>
    <row r="413" spans="1:4" x14ac:dyDescent="0.3">
      <c r="A413" s="11" t="s">
        <v>2</v>
      </c>
      <c r="B413" s="10" t="s">
        <v>89</v>
      </c>
      <c r="C413" s="4"/>
      <c r="D413" s="13"/>
    </row>
    <row r="414" spans="1:4" x14ac:dyDescent="0.3">
      <c r="A414" s="11" t="s">
        <v>3</v>
      </c>
      <c r="B414" s="3" t="s">
        <v>90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527</v>
      </c>
      <c r="D420" s="29"/>
    </row>
    <row r="421" spans="1:4" x14ac:dyDescent="0.3">
      <c r="A421" s="26" t="s">
        <v>100</v>
      </c>
      <c r="B421" s="27"/>
      <c r="C421" s="56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19</v>
      </c>
      <c r="C424" s="28"/>
      <c r="D424" s="29">
        <f>C420*9.45%</f>
        <v>49.80149999999999</v>
      </c>
    </row>
    <row r="425" spans="1:4" x14ac:dyDescent="0.3">
      <c r="A425" s="26"/>
      <c r="B425" s="27" t="s">
        <v>11</v>
      </c>
      <c r="C425" s="28"/>
      <c r="D425" s="29"/>
    </row>
    <row r="426" spans="1:4" x14ac:dyDescent="0.3">
      <c r="A426" s="26"/>
      <c r="B426" s="27" t="s">
        <v>55</v>
      </c>
      <c r="C426" s="28"/>
      <c r="D426" s="29"/>
    </row>
    <row r="427" spans="1:4" x14ac:dyDescent="0.3">
      <c r="A427" s="26"/>
      <c r="B427" s="27" t="s">
        <v>18</v>
      </c>
      <c r="C427" s="28"/>
      <c r="D427" s="29"/>
    </row>
    <row r="428" spans="1:4" x14ac:dyDescent="0.3">
      <c r="A428" s="26"/>
      <c r="B428" s="27"/>
      <c r="C428" s="28"/>
      <c r="D428" s="29"/>
    </row>
    <row r="429" spans="1:4" x14ac:dyDescent="0.3">
      <c r="A429" s="26"/>
      <c r="B429" s="27"/>
      <c r="C429" s="28"/>
      <c r="D429" s="29"/>
    </row>
    <row r="430" spans="1:4" x14ac:dyDescent="0.3">
      <c r="A430" s="21"/>
      <c r="B430" s="8"/>
      <c r="C430" s="1"/>
      <c r="D430" s="20"/>
    </row>
    <row r="431" spans="1:4" x14ac:dyDescent="0.3">
      <c r="A431" s="43"/>
      <c r="B431" s="44" t="s">
        <v>12</v>
      </c>
      <c r="C431" s="46">
        <f>SUM(C420:C430)</f>
        <v>527</v>
      </c>
      <c r="D431" s="50">
        <f>SUM(D420:D430)</f>
        <v>49.80149999999999</v>
      </c>
    </row>
    <row r="432" spans="1:4" x14ac:dyDescent="0.3">
      <c r="A432" s="21"/>
      <c r="B432" s="3"/>
      <c r="C432" s="3"/>
      <c r="D432" s="22"/>
    </row>
    <row r="433" spans="1:4" ht="28.2" x14ac:dyDescent="0.3">
      <c r="A433" s="21"/>
      <c r="B433" s="45"/>
      <c r="C433" s="47" t="s">
        <v>13</v>
      </c>
      <c r="D433" s="51">
        <f>+C431-D431</f>
        <v>477.19850000000002</v>
      </c>
    </row>
    <row r="434" spans="1:4" x14ac:dyDescent="0.3">
      <c r="A434" s="21"/>
      <c r="B434" s="3"/>
      <c r="C434" s="3"/>
      <c r="D434" s="22"/>
    </row>
    <row r="435" spans="1:4" x14ac:dyDescent="0.3">
      <c r="A435" s="23"/>
      <c r="B435" s="4" t="s">
        <v>14</v>
      </c>
      <c r="C435" s="2"/>
      <c r="D435" s="24"/>
    </row>
    <row r="436" spans="1:4" ht="15" thickBot="1" x14ac:dyDescent="0.35">
      <c r="A436" s="23"/>
      <c r="B436" s="9"/>
      <c r="C436" s="9"/>
      <c r="D436" s="24"/>
    </row>
    <row r="437" spans="1:4" x14ac:dyDescent="0.3">
      <c r="A437" s="300" t="s">
        <v>28</v>
      </c>
      <c r="B437" s="300" t="s">
        <v>93</v>
      </c>
      <c r="C437" s="302" t="s">
        <v>30</v>
      </c>
      <c r="D437" s="303"/>
    </row>
    <row r="438" spans="1:4" ht="15" thickBot="1" x14ac:dyDescent="0.35">
      <c r="A438" s="301"/>
      <c r="B438" s="301"/>
      <c r="C438" s="304"/>
      <c r="D438" s="30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8" t="s">
        <v>20</v>
      </c>
      <c r="B449" s="35" t="s">
        <v>21</v>
      </c>
      <c r="C449" s="290" t="s">
        <v>91</v>
      </c>
      <c r="D449" s="291"/>
    </row>
    <row r="450" spans="1:4" ht="15" thickBot="1" x14ac:dyDescent="0.35">
      <c r="A450" s="36" t="s">
        <v>22</v>
      </c>
      <c r="B450" s="33" t="s">
        <v>23</v>
      </c>
      <c r="C450" s="292" t="s">
        <v>92</v>
      </c>
      <c r="D450" s="293"/>
    </row>
  </sheetData>
  <mergeCells count="63">
    <mergeCell ref="C449:D449"/>
    <mergeCell ref="C450:D450"/>
    <mergeCell ref="A405:D405"/>
    <mergeCell ref="A410:D410"/>
    <mergeCell ref="A437:A438"/>
    <mergeCell ref="B437:B438"/>
    <mergeCell ref="C437:D438"/>
    <mergeCell ref="C349:D349"/>
    <mergeCell ref="C350:D350"/>
    <mergeCell ref="A305:D305"/>
    <mergeCell ref="A310:D310"/>
    <mergeCell ref="A337:A338"/>
    <mergeCell ref="B337:B338"/>
    <mergeCell ref="C337:D33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7:D97"/>
    <mergeCell ref="C98:D98"/>
    <mergeCell ref="A53:D53"/>
    <mergeCell ref="A58:D58"/>
    <mergeCell ref="A85:A86"/>
    <mergeCell ref="B85:B86"/>
    <mergeCell ref="C85:D86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99:D399"/>
    <mergeCell ref="C400:D400"/>
    <mergeCell ref="A355:D355"/>
    <mergeCell ref="A360:D360"/>
    <mergeCell ref="A387:A388"/>
    <mergeCell ref="B387:B388"/>
    <mergeCell ref="C387:D388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Z94"/>
  <sheetViews>
    <sheetView zoomScale="58" zoomScaleNormal="85" workbookViewId="0">
      <selection activeCell="I13" sqref="I13"/>
    </sheetView>
  </sheetViews>
  <sheetFormatPr baseColWidth="10" defaultRowHeight="15.6" outlineLevelCol="1" x14ac:dyDescent="0.3"/>
  <cols>
    <col min="1" max="1" width="6.77734375" customWidth="1"/>
    <col min="2" max="2" width="7.33203125" customWidth="1"/>
    <col min="3" max="3" width="12.77734375" bestFit="1" customWidth="1"/>
    <col min="4" max="4" width="33.33203125" customWidth="1"/>
    <col min="5" max="5" width="18.109375" customWidth="1"/>
    <col min="6" max="6" width="10.44140625" customWidth="1"/>
    <col min="7" max="7" width="7.77734375" customWidth="1" outlineLevel="1"/>
    <col min="8" max="8" width="9.33203125" customWidth="1" outlineLevel="1"/>
    <col min="9" max="9" width="9" customWidth="1" outlineLevel="1"/>
    <col min="10" max="10" width="8.33203125" customWidth="1" outlineLevel="1"/>
    <col min="11" max="11" width="9.77734375" customWidth="1" outlineLevel="1"/>
    <col min="12" max="12" width="9.88671875" customWidth="1" outlineLevel="1"/>
    <col min="13" max="13" width="10.109375" customWidth="1" outlineLevel="1"/>
    <col min="14" max="14" width="7" customWidth="1" outlineLevel="1"/>
    <col min="15" max="15" width="6.77734375" customWidth="1" outlineLevel="1"/>
    <col min="16" max="17" width="7.77734375" customWidth="1" outlineLevel="1"/>
    <col min="18" max="18" width="8" customWidth="1"/>
    <col min="21" max="21" width="24" customWidth="1"/>
    <col min="22" max="22" width="15.5546875" style="123" customWidth="1"/>
    <col min="23" max="23" width="16.33203125" style="126" customWidth="1"/>
    <col min="24" max="24" width="13.88671875" customWidth="1"/>
    <col min="25" max="25" width="10" customWidth="1"/>
  </cols>
  <sheetData>
    <row r="1" spans="1:24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/>
    </row>
    <row r="2" spans="1:24" x14ac:dyDescent="0.3">
      <c r="A2" s="307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9"/>
    </row>
    <row r="3" spans="1:24" x14ac:dyDescent="0.3">
      <c r="A3" s="307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9"/>
    </row>
    <row r="4" spans="1:24" x14ac:dyDescent="0.3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9"/>
    </row>
    <row r="5" spans="1:24" ht="16.2" thickBot="1" x14ac:dyDescent="0.35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2"/>
    </row>
    <row r="6" spans="1:24" ht="18.600000000000001" thickBot="1" x14ac:dyDescent="0.4">
      <c r="A6" s="318" t="s">
        <v>162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1:24" ht="55.2" customHeight="1" x14ac:dyDescent="0.3">
      <c r="A7" s="116" t="s">
        <v>143</v>
      </c>
      <c r="B7" s="117" t="s">
        <v>144</v>
      </c>
      <c r="C7" s="117" t="s">
        <v>145</v>
      </c>
      <c r="D7" s="117" t="s">
        <v>146</v>
      </c>
      <c r="E7" s="117" t="s">
        <v>147</v>
      </c>
      <c r="F7" s="117" t="s">
        <v>148</v>
      </c>
      <c r="G7" s="117" t="s">
        <v>177</v>
      </c>
      <c r="H7" s="117" t="s">
        <v>174</v>
      </c>
      <c r="I7" s="117" t="s">
        <v>149</v>
      </c>
      <c r="J7" s="117" t="s">
        <v>150</v>
      </c>
      <c r="K7" s="117" t="s">
        <v>152</v>
      </c>
      <c r="L7" s="117" t="s">
        <v>186</v>
      </c>
      <c r="M7" s="117" t="s">
        <v>154</v>
      </c>
      <c r="N7" s="117" t="s">
        <v>155</v>
      </c>
      <c r="O7" s="117" t="s">
        <v>156</v>
      </c>
      <c r="P7" s="117" t="s">
        <v>157</v>
      </c>
      <c r="Q7" s="117" t="s">
        <v>158</v>
      </c>
      <c r="R7" s="117" t="s">
        <v>159</v>
      </c>
      <c r="S7" s="117" t="s">
        <v>160</v>
      </c>
      <c r="T7" s="117" t="s">
        <v>13</v>
      </c>
      <c r="U7" s="118" t="s">
        <v>161</v>
      </c>
      <c r="V7" s="129" t="s">
        <v>220</v>
      </c>
      <c r="W7" s="130" t="s">
        <v>229</v>
      </c>
      <c r="X7" s="127" t="s">
        <v>219</v>
      </c>
    </row>
    <row r="8" spans="1:24" ht="28.8" customHeight="1" x14ac:dyDescent="0.3">
      <c r="A8" s="71" t="s">
        <v>119</v>
      </c>
      <c r="B8" s="71">
        <v>2023</v>
      </c>
      <c r="C8" s="94">
        <v>1500721202</v>
      </c>
      <c r="D8" s="64" t="s">
        <v>163</v>
      </c>
      <c r="E8" s="65" t="s">
        <v>15</v>
      </c>
      <c r="F8" s="63">
        <v>1340</v>
      </c>
      <c r="G8" s="63">
        <v>16</v>
      </c>
      <c r="H8" s="72">
        <f t="shared" ref="H8:H13" si="0">ROUND(F8/30*G8,2)</f>
        <v>714.67</v>
      </c>
      <c r="I8" s="72">
        <f t="shared" ref="I8:I13" si="1">H8/12</f>
        <v>59.555833333333332</v>
      </c>
      <c r="J8" s="63">
        <f t="shared" ref="J8:J13" si="2">450/12</f>
        <v>37.5</v>
      </c>
      <c r="K8" s="119">
        <f t="shared" ref="K8:K13" si="3">ROUND(H8+I8+J8,2)</f>
        <v>811.73</v>
      </c>
      <c r="L8" s="83">
        <f t="shared" ref="L8:L13" si="4">ROUND(H8*11.45%,2)</f>
        <v>81.83</v>
      </c>
      <c r="M8" s="83">
        <f>ROUND(H8*11.65%,2)</f>
        <v>83.26</v>
      </c>
      <c r="N8" s="63">
        <v>51</v>
      </c>
      <c r="O8" s="63"/>
      <c r="P8" s="63"/>
      <c r="Q8" s="63"/>
      <c r="R8" s="120">
        <f t="shared" ref="R8:R13" si="5">L8+O8+P8+Q8</f>
        <v>81.83</v>
      </c>
      <c r="S8" s="63"/>
      <c r="T8" s="140">
        <f t="shared" ref="T8:T13" si="6">+K8-R8-S8</f>
        <v>729.9</v>
      </c>
      <c r="U8" s="63"/>
      <c r="V8" s="123" t="s">
        <v>207</v>
      </c>
      <c r="W8" s="126" t="s">
        <v>206</v>
      </c>
      <c r="X8">
        <v>1700511</v>
      </c>
    </row>
    <row r="9" spans="1:24" ht="28.8" customHeight="1" x14ac:dyDescent="0.3">
      <c r="A9" s="71" t="s">
        <v>119</v>
      </c>
      <c r="B9" s="71">
        <v>2023</v>
      </c>
      <c r="C9" s="95" t="s">
        <v>198</v>
      </c>
      <c r="D9" s="66" t="s">
        <v>164</v>
      </c>
      <c r="E9" s="65" t="s">
        <v>169</v>
      </c>
      <c r="F9" s="63">
        <v>536</v>
      </c>
      <c r="G9" s="63">
        <v>16</v>
      </c>
      <c r="H9" s="72">
        <f t="shared" si="0"/>
        <v>285.87</v>
      </c>
      <c r="I9" s="72">
        <f>H9/12</f>
        <v>23.822500000000002</v>
      </c>
      <c r="J9" s="63">
        <f t="shared" si="2"/>
        <v>37.5</v>
      </c>
      <c r="K9" s="119">
        <f t="shared" si="3"/>
        <v>347.19</v>
      </c>
      <c r="L9" s="83">
        <f t="shared" si="4"/>
        <v>32.729999999999997</v>
      </c>
      <c r="M9" s="83">
        <f t="shared" ref="M9:M13" si="7">ROUND(H9*11.65%,2)</f>
        <v>33.299999999999997</v>
      </c>
      <c r="N9" s="63">
        <v>51</v>
      </c>
      <c r="O9" s="63"/>
      <c r="P9" s="63"/>
      <c r="Q9" s="63"/>
      <c r="R9" s="120">
        <f t="shared" si="5"/>
        <v>32.729999999999997</v>
      </c>
      <c r="S9" s="72"/>
      <c r="T9" s="140">
        <f t="shared" si="6"/>
        <v>314.45999999999998</v>
      </c>
      <c r="U9" s="63"/>
      <c r="V9" s="123" t="s">
        <v>211</v>
      </c>
      <c r="W9" s="126" t="s">
        <v>205</v>
      </c>
      <c r="X9">
        <v>1410036</v>
      </c>
    </row>
    <row r="10" spans="1:24" ht="28.8" customHeight="1" x14ac:dyDescent="0.3">
      <c r="A10" s="71" t="s">
        <v>119</v>
      </c>
      <c r="B10" s="71">
        <v>2023</v>
      </c>
      <c r="C10" s="95" t="s">
        <v>199</v>
      </c>
      <c r="D10" s="66" t="s">
        <v>165</v>
      </c>
      <c r="E10" s="65" t="s">
        <v>170</v>
      </c>
      <c r="F10" s="63">
        <v>536</v>
      </c>
      <c r="G10" s="63">
        <v>16</v>
      </c>
      <c r="H10" s="72">
        <f t="shared" si="0"/>
        <v>285.87</v>
      </c>
      <c r="I10" s="72">
        <f t="shared" si="1"/>
        <v>23.822500000000002</v>
      </c>
      <c r="J10" s="63">
        <f t="shared" si="2"/>
        <v>37.5</v>
      </c>
      <c r="K10" s="119">
        <f t="shared" si="3"/>
        <v>347.19</v>
      </c>
      <c r="L10" s="83">
        <f t="shared" si="4"/>
        <v>32.729999999999997</v>
      </c>
      <c r="M10" s="83">
        <f t="shared" si="7"/>
        <v>33.299999999999997</v>
      </c>
      <c r="N10" s="63">
        <v>51</v>
      </c>
      <c r="O10" s="63"/>
      <c r="P10" s="63"/>
      <c r="Q10" s="63"/>
      <c r="R10" s="120">
        <f t="shared" si="5"/>
        <v>32.729999999999997</v>
      </c>
      <c r="S10" s="63"/>
      <c r="T10" s="140">
        <f t="shared" si="6"/>
        <v>314.45999999999998</v>
      </c>
      <c r="U10" s="63"/>
      <c r="V10" s="123" t="s">
        <v>210</v>
      </c>
      <c r="W10" s="126" t="s">
        <v>205</v>
      </c>
      <c r="X10">
        <v>1410036</v>
      </c>
    </row>
    <row r="11" spans="1:24" ht="28.8" customHeight="1" x14ac:dyDescent="0.3">
      <c r="A11" s="71" t="s">
        <v>119</v>
      </c>
      <c r="B11" s="71">
        <v>2023</v>
      </c>
      <c r="C11" s="96">
        <v>1500367295</v>
      </c>
      <c r="D11" s="64" t="s">
        <v>166</v>
      </c>
      <c r="E11" s="65" t="s">
        <v>171</v>
      </c>
      <c r="F11" s="63">
        <v>536</v>
      </c>
      <c r="G11" s="63">
        <v>16</v>
      </c>
      <c r="H11" s="72">
        <f t="shared" si="0"/>
        <v>285.87</v>
      </c>
      <c r="I11" s="72">
        <f t="shared" si="1"/>
        <v>23.822500000000002</v>
      </c>
      <c r="J11" s="63">
        <f t="shared" si="2"/>
        <v>37.5</v>
      </c>
      <c r="K11" s="119">
        <f t="shared" si="3"/>
        <v>347.19</v>
      </c>
      <c r="L11" s="83">
        <f t="shared" si="4"/>
        <v>32.729999999999997</v>
      </c>
      <c r="M11" s="83">
        <f t="shared" si="7"/>
        <v>33.299999999999997</v>
      </c>
      <c r="N11" s="63">
        <v>51</v>
      </c>
      <c r="O11" s="63"/>
      <c r="P11" s="63"/>
      <c r="Q11" s="63"/>
      <c r="R11" s="120">
        <f t="shared" si="5"/>
        <v>32.729999999999997</v>
      </c>
      <c r="S11" s="63"/>
      <c r="T11" s="140">
        <f t="shared" si="6"/>
        <v>314.45999999999998</v>
      </c>
      <c r="U11" s="63"/>
      <c r="V11" s="123" t="s">
        <v>255</v>
      </c>
      <c r="W11" s="126" t="s">
        <v>205</v>
      </c>
      <c r="X11">
        <v>1410036</v>
      </c>
    </row>
    <row r="12" spans="1:24" ht="28.8" customHeight="1" x14ac:dyDescent="0.3">
      <c r="A12" s="71" t="s">
        <v>119</v>
      </c>
      <c r="B12" s="71">
        <v>2023</v>
      </c>
      <c r="C12" s="97">
        <v>1500814940</v>
      </c>
      <c r="D12" s="66" t="s">
        <v>167</v>
      </c>
      <c r="E12" s="65" t="s">
        <v>172</v>
      </c>
      <c r="F12" s="63">
        <v>536</v>
      </c>
      <c r="G12" s="63">
        <v>16</v>
      </c>
      <c r="H12" s="72">
        <f t="shared" si="0"/>
        <v>285.87</v>
      </c>
      <c r="I12" s="72">
        <f t="shared" si="1"/>
        <v>23.822500000000002</v>
      </c>
      <c r="J12" s="63">
        <f t="shared" si="2"/>
        <v>37.5</v>
      </c>
      <c r="K12" s="119">
        <f t="shared" si="3"/>
        <v>347.19</v>
      </c>
      <c r="L12" s="83">
        <f t="shared" si="4"/>
        <v>32.729999999999997</v>
      </c>
      <c r="M12" s="83">
        <f t="shared" si="7"/>
        <v>33.299999999999997</v>
      </c>
      <c r="N12" s="63">
        <v>51</v>
      </c>
      <c r="O12" s="63"/>
      <c r="P12" s="63"/>
      <c r="Q12" s="63"/>
      <c r="R12" s="120">
        <f t="shared" si="5"/>
        <v>32.729999999999997</v>
      </c>
      <c r="S12" s="63"/>
      <c r="T12" s="140">
        <f t="shared" si="6"/>
        <v>314.45999999999998</v>
      </c>
      <c r="U12" s="63"/>
      <c r="V12" s="123" t="s">
        <v>204</v>
      </c>
      <c r="W12" s="126" t="s">
        <v>205</v>
      </c>
      <c r="X12">
        <v>1410036</v>
      </c>
    </row>
    <row r="13" spans="1:24" ht="28.8" customHeight="1" x14ac:dyDescent="0.3">
      <c r="A13" s="71" t="s">
        <v>119</v>
      </c>
      <c r="B13" s="71">
        <v>2023</v>
      </c>
      <c r="C13" s="98" t="s">
        <v>200</v>
      </c>
      <c r="D13" s="67" t="s">
        <v>168</v>
      </c>
      <c r="E13" s="68" t="s">
        <v>173</v>
      </c>
      <c r="F13" s="63">
        <v>733</v>
      </c>
      <c r="G13" s="63">
        <v>16</v>
      </c>
      <c r="H13" s="72">
        <f t="shared" si="0"/>
        <v>390.93</v>
      </c>
      <c r="I13" s="72">
        <f t="shared" si="1"/>
        <v>32.577500000000001</v>
      </c>
      <c r="J13" s="63">
        <f t="shared" si="2"/>
        <v>37.5</v>
      </c>
      <c r="K13" s="119">
        <f t="shared" si="3"/>
        <v>461.01</v>
      </c>
      <c r="L13" s="83">
        <f t="shared" si="4"/>
        <v>44.76</v>
      </c>
      <c r="M13" s="83">
        <f t="shared" si="7"/>
        <v>45.54</v>
      </c>
      <c r="N13" s="63">
        <v>51</v>
      </c>
      <c r="O13" s="63"/>
      <c r="P13" s="63"/>
      <c r="Q13" s="63"/>
      <c r="R13" s="120">
        <f t="shared" si="5"/>
        <v>44.76</v>
      </c>
      <c r="S13" s="63"/>
      <c r="T13" s="140">
        <f t="shared" si="6"/>
        <v>416.25</v>
      </c>
      <c r="U13" s="63"/>
      <c r="V13" s="123" t="s">
        <v>208</v>
      </c>
      <c r="W13" s="126" t="s">
        <v>209</v>
      </c>
      <c r="X13">
        <v>1600022</v>
      </c>
    </row>
    <row r="14" spans="1:24" ht="28.8" customHeight="1" x14ac:dyDescent="0.3">
      <c r="A14" s="327" t="s">
        <v>185</v>
      </c>
      <c r="B14" s="328"/>
      <c r="C14" s="328"/>
      <c r="D14" s="328"/>
      <c r="E14" s="329"/>
      <c r="F14" s="93">
        <f>SUM(F8:F13)</f>
        <v>4217</v>
      </c>
      <c r="G14" s="93">
        <f t="shared" ref="G14:T14" si="8">SUM(G8:G13)</f>
        <v>96</v>
      </c>
      <c r="H14" s="93">
        <f t="shared" si="8"/>
        <v>2249.0799999999995</v>
      </c>
      <c r="I14" s="93">
        <f t="shared" si="8"/>
        <v>187.42333333333335</v>
      </c>
      <c r="J14" s="93">
        <f t="shared" si="8"/>
        <v>225</v>
      </c>
      <c r="K14" s="93">
        <f t="shared" si="8"/>
        <v>2661.5</v>
      </c>
      <c r="L14" s="93">
        <f t="shared" si="8"/>
        <v>257.51</v>
      </c>
      <c r="M14" s="93">
        <f>SUM(M8:M13)</f>
        <v>262.00000000000006</v>
      </c>
      <c r="N14" s="93">
        <f t="shared" si="8"/>
        <v>306</v>
      </c>
      <c r="O14" s="93">
        <f t="shared" si="8"/>
        <v>0</v>
      </c>
      <c r="P14" s="93">
        <f t="shared" si="8"/>
        <v>0</v>
      </c>
      <c r="Q14" s="93">
        <f t="shared" si="8"/>
        <v>0</v>
      </c>
      <c r="R14" s="121">
        <f t="shared" si="8"/>
        <v>257.51</v>
      </c>
      <c r="S14" s="93">
        <f t="shared" si="8"/>
        <v>0</v>
      </c>
      <c r="T14" s="121">
        <f t="shared" si="8"/>
        <v>2403.9899999999998</v>
      </c>
      <c r="U14" s="93"/>
    </row>
    <row r="15" spans="1:24" x14ac:dyDescent="0.3">
      <c r="A15" s="69"/>
      <c r="B15" s="69"/>
      <c r="C15" s="80"/>
      <c r="D15" s="81"/>
      <c r="E15" s="82"/>
      <c r="F15" s="2"/>
      <c r="G15" s="2"/>
      <c r="H15" s="70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4" x14ac:dyDescent="0.3">
      <c r="A16" s="69"/>
      <c r="B16" s="69"/>
      <c r="C16" s="80"/>
      <c r="D16" s="81"/>
      <c r="E16" s="330" t="s">
        <v>28</v>
      </c>
      <c r="F16" s="330"/>
      <c r="G16" s="330"/>
      <c r="H16" s="84"/>
      <c r="I16" s="85"/>
      <c r="J16" s="85"/>
      <c r="K16" s="86"/>
      <c r="L16" s="330" t="s">
        <v>187</v>
      </c>
      <c r="M16" s="330"/>
      <c r="N16" s="330"/>
      <c r="O16" s="330"/>
      <c r="P16" s="330"/>
      <c r="Q16" s="330"/>
      <c r="R16" s="2"/>
      <c r="S16" s="2"/>
      <c r="T16" s="2"/>
      <c r="U16" s="2"/>
    </row>
    <row r="17" spans="1:24" x14ac:dyDescent="0.3">
      <c r="A17" s="69"/>
      <c r="B17" s="69"/>
      <c r="C17" s="80"/>
      <c r="D17" s="81"/>
      <c r="E17" s="87"/>
      <c r="F17" s="87"/>
      <c r="G17" s="87"/>
      <c r="H17" s="84"/>
      <c r="I17" s="85"/>
      <c r="J17" s="85"/>
      <c r="K17" s="86"/>
      <c r="L17" s="87"/>
      <c r="M17" s="87"/>
      <c r="N17" s="87"/>
      <c r="O17" s="87"/>
      <c r="P17" s="87"/>
      <c r="Q17" s="87"/>
      <c r="R17" s="2"/>
      <c r="S17" s="2"/>
      <c r="T17" s="2"/>
      <c r="U17" s="2"/>
    </row>
    <row r="18" spans="1:24" x14ac:dyDescent="0.3">
      <c r="E18" s="145"/>
      <c r="F18" s="146"/>
      <c r="G18" s="145"/>
      <c r="H18" s="146"/>
      <c r="I18" s="85"/>
      <c r="J18" s="85"/>
      <c r="K18" s="88"/>
      <c r="L18" s="88"/>
      <c r="M18" s="88"/>
      <c r="N18" s="88"/>
      <c r="O18" s="88"/>
      <c r="P18" s="89"/>
      <c r="Q18" s="89"/>
      <c r="U18" s="169">
        <f>T14+T36+T64</f>
        <v>7350.323023809523</v>
      </c>
    </row>
    <row r="19" spans="1:24" x14ac:dyDescent="0.3">
      <c r="E19" s="317" t="s">
        <v>188</v>
      </c>
      <c r="F19" s="317"/>
      <c r="G19" s="317"/>
      <c r="H19" s="317"/>
      <c r="I19" s="85"/>
      <c r="J19" s="85"/>
      <c r="K19" s="88"/>
      <c r="L19" s="331" t="s">
        <v>236</v>
      </c>
      <c r="M19" s="331"/>
      <c r="N19" s="331"/>
      <c r="O19" s="331"/>
      <c r="P19" s="331"/>
      <c r="Q19" s="331"/>
    </row>
    <row r="20" spans="1:24" x14ac:dyDescent="0.3">
      <c r="E20" s="316" t="s">
        <v>238</v>
      </c>
      <c r="F20" s="316"/>
      <c r="G20" s="316"/>
      <c r="H20" s="316"/>
      <c r="L20" s="316" t="s">
        <v>237</v>
      </c>
      <c r="M20" s="316"/>
      <c r="N20" s="316"/>
      <c r="O20" s="316"/>
      <c r="P20" s="316"/>
      <c r="Q20" s="316"/>
    </row>
    <row r="21" spans="1:24" ht="16.2" thickBot="1" x14ac:dyDescent="0.35">
      <c r="E21" s="90"/>
      <c r="F21" s="90"/>
      <c r="G21" s="90"/>
      <c r="H21" s="84"/>
      <c r="I21" s="85"/>
      <c r="J21" s="85"/>
      <c r="K21" s="88"/>
      <c r="L21" s="90"/>
      <c r="M21" s="90"/>
      <c r="N21" s="90"/>
      <c r="O21" s="90"/>
      <c r="P21" s="90"/>
      <c r="Q21" s="90"/>
    </row>
    <row r="22" spans="1:24" ht="25.2" customHeight="1" x14ac:dyDescent="0.3">
      <c r="A22" s="294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6"/>
    </row>
    <row r="23" spans="1:24" x14ac:dyDescent="0.3">
      <c r="A23" s="307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9"/>
    </row>
    <row r="24" spans="1:24" x14ac:dyDescent="0.3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9"/>
    </row>
    <row r="25" spans="1:24" x14ac:dyDescent="0.3">
      <c r="A25" s="307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9"/>
    </row>
    <row r="26" spans="1:24" ht="16.2" thickBot="1" x14ac:dyDescent="0.35">
      <c r="A26" s="307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9"/>
    </row>
    <row r="27" spans="1:24" ht="18.600000000000001" thickBot="1" x14ac:dyDescent="0.4">
      <c r="A27" s="321" t="s">
        <v>175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3"/>
    </row>
    <row r="28" spans="1:24" ht="57.6" x14ac:dyDescent="0.3">
      <c r="A28" s="108" t="s">
        <v>143</v>
      </c>
      <c r="B28" s="109" t="s">
        <v>144</v>
      </c>
      <c r="C28" s="109" t="s">
        <v>145</v>
      </c>
      <c r="D28" s="109" t="s">
        <v>146</v>
      </c>
      <c r="E28" s="109" t="s">
        <v>147</v>
      </c>
      <c r="F28" s="109" t="s">
        <v>148</v>
      </c>
      <c r="G28" s="109" t="s">
        <v>151</v>
      </c>
      <c r="H28" s="109" t="s">
        <v>174</v>
      </c>
      <c r="I28" s="109" t="s">
        <v>149</v>
      </c>
      <c r="J28" s="109" t="s">
        <v>150</v>
      </c>
      <c r="K28" s="109" t="s">
        <v>152</v>
      </c>
      <c r="L28" s="109" t="s">
        <v>153</v>
      </c>
      <c r="M28" s="109" t="s">
        <v>197</v>
      </c>
      <c r="N28" s="109" t="s">
        <v>155</v>
      </c>
      <c r="O28" s="109" t="s">
        <v>156</v>
      </c>
      <c r="P28" s="109" t="s">
        <v>157</v>
      </c>
      <c r="Q28" s="109" t="s">
        <v>158</v>
      </c>
      <c r="R28" s="109" t="s">
        <v>159</v>
      </c>
      <c r="S28" s="109" t="s">
        <v>160</v>
      </c>
      <c r="T28" s="109" t="s">
        <v>13</v>
      </c>
      <c r="U28" s="115" t="s">
        <v>161</v>
      </c>
      <c r="V28" s="131" t="s">
        <v>220</v>
      </c>
      <c r="W28" s="132" t="s">
        <v>229</v>
      </c>
      <c r="X28" s="133" t="s">
        <v>219</v>
      </c>
    </row>
    <row r="29" spans="1:24" ht="31.2" customHeight="1" x14ac:dyDescent="0.3">
      <c r="A29" s="71" t="s">
        <v>119</v>
      </c>
      <c r="B29" s="71">
        <v>2023</v>
      </c>
      <c r="C29" s="73" t="s">
        <v>179</v>
      </c>
      <c r="D29" s="73" t="s">
        <v>178</v>
      </c>
      <c r="E29" s="73" t="s">
        <v>183</v>
      </c>
      <c r="F29" s="74">
        <v>553</v>
      </c>
      <c r="G29" s="63">
        <v>30</v>
      </c>
      <c r="H29" s="72">
        <f>F29</f>
        <v>553</v>
      </c>
      <c r="I29" s="63"/>
      <c r="J29" s="63"/>
      <c r="K29" s="75">
        <f>ROUND(H29+I29+J29,2)</f>
        <v>553</v>
      </c>
      <c r="L29" s="72">
        <f>F29*9.45%</f>
        <v>52.258499999999991</v>
      </c>
      <c r="M29" s="72">
        <f>F29*12.15%</f>
        <v>67.189499999999995</v>
      </c>
      <c r="N29" s="63">
        <v>71</v>
      </c>
      <c r="O29" s="63"/>
      <c r="P29" s="63"/>
      <c r="Q29" s="63"/>
      <c r="R29" s="72">
        <f>L29+O29+P29+Q29</f>
        <v>52.258499999999991</v>
      </c>
      <c r="S29" s="63">
        <v>263.5</v>
      </c>
      <c r="T29" s="141">
        <f>K29-R29-S29</f>
        <v>237.24150000000003</v>
      </c>
      <c r="U29" s="63"/>
      <c r="V29" s="123" t="s">
        <v>212</v>
      </c>
      <c r="W29" s="126" t="s">
        <v>205</v>
      </c>
      <c r="X29">
        <v>1410036</v>
      </c>
    </row>
    <row r="30" spans="1:24" ht="31.2" customHeight="1" x14ac:dyDescent="0.3">
      <c r="A30" s="71" t="s">
        <v>119</v>
      </c>
      <c r="B30" s="71">
        <v>2023</v>
      </c>
      <c r="C30" s="73" t="s">
        <v>77</v>
      </c>
      <c r="D30" s="73" t="s">
        <v>73</v>
      </c>
      <c r="E30" s="73" t="s">
        <v>74</v>
      </c>
      <c r="F30" s="74">
        <v>708</v>
      </c>
      <c r="G30" s="63">
        <v>30</v>
      </c>
      <c r="H30" s="72">
        <f t="shared" ref="H30:H35" si="9">F30</f>
        <v>708</v>
      </c>
      <c r="I30" s="63"/>
      <c r="J30" s="63"/>
      <c r="K30" s="75">
        <f t="shared" ref="K30:K35" si="10">ROUND(H30+I30+J30,2)</f>
        <v>708</v>
      </c>
      <c r="L30" s="72">
        <f t="shared" ref="L30:L35" si="11">F30*9.45%</f>
        <v>66.905999999999992</v>
      </c>
      <c r="M30" s="72">
        <f t="shared" ref="M30:M35" si="12">F30*12.15%</f>
        <v>86.021999999999991</v>
      </c>
      <c r="N30" s="63">
        <v>71</v>
      </c>
      <c r="O30" s="102"/>
      <c r="P30" s="102"/>
      <c r="Q30" s="102"/>
      <c r="R30" s="72">
        <f t="shared" ref="R30:R35" si="13">L30+O30+P30+Q30</f>
        <v>66.905999999999992</v>
      </c>
      <c r="S30" s="72">
        <f>1416/9</f>
        <v>157.33333333333334</v>
      </c>
      <c r="T30" s="141">
        <f t="shared" ref="T30:T35" si="14">K30-R30-S30</f>
        <v>483.76066666666668</v>
      </c>
      <c r="U30" s="63"/>
      <c r="V30" s="123" t="s">
        <v>221</v>
      </c>
      <c r="W30" s="126" t="s">
        <v>205</v>
      </c>
      <c r="X30">
        <v>1410036</v>
      </c>
    </row>
    <row r="31" spans="1:24" ht="36.6" customHeight="1" x14ac:dyDescent="0.3">
      <c r="A31" s="71" t="s">
        <v>119</v>
      </c>
      <c r="B31" s="71">
        <v>2023</v>
      </c>
      <c r="C31" s="73" t="s">
        <v>79</v>
      </c>
      <c r="D31" s="73" t="s">
        <v>78</v>
      </c>
      <c r="E31" s="73" t="s">
        <v>184</v>
      </c>
      <c r="F31" s="74">
        <v>566</v>
      </c>
      <c r="G31" s="63">
        <v>30</v>
      </c>
      <c r="H31" s="72">
        <f t="shared" si="9"/>
        <v>566</v>
      </c>
      <c r="I31" s="63"/>
      <c r="J31" s="63"/>
      <c r="K31" s="75">
        <f t="shared" si="10"/>
        <v>566</v>
      </c>
      <c r="L31" s="72">
        <f t="shared" si="11"/>
        <v>53.486999999999995</v>
      </c>
      <c r="M31" s="72">
        <f t="shared" si="12"/>
        <v>68.768999999999991</v>
      </c>
      <c r="N31" s="63">
        <v>71</v>
      </c>
      <c r="O31" s="102">
        <v>92.02</v>
      </c>
      <c r="P31" s="102"/>
      <c r="Q31" s="102"/>
      <c r="R31" s="72">
        <f t="shared" si="13"/>
        <v>145.50700000000001</v>
      </c>
      <c r="S31" s="63">
        <f>1698/6</f>
        <v>283</v>
      </c>
      <c r="T31" s="141">
        <f t="shared" si="14"/>
        <v>137.49299999999999</v>
      </c>
      <c r="U31" s="63"/>
      <c r="V31" s="123" t="s">
        <v>228</v>
      </c>
      <c r="W31" s="126" t="s">
        <v>209</v>
      </c>
      <c r="X31">
        <v>1600022</v>
      </c>
    </row>
    <row r="32" spans="1:24" ht="31.2" customHeight="1" x14ac:dyDescent="0.3">
      <c r="A32" s="71" t="s">
        <v>119</v>
      </c>
      <c r="B32" s="71">
        <v>2023</v>
      </c>
      <c r="C32" s="73" t="s">
        <v>180</v>
      </c>
      <c r="D32" s="73" t="s">
        <v>69</v>
      </c>
      <c r="E32" s="73" t="s">
        <v>66</v>
      </c>
      <c r="F32" s="74">
        <v>584</v>
      </c>
      <c r="G32" s="63">
        <v>30</v>
      </c>
      <c r="H32" s="72">
        <f t="shared" si="9"/>
        <v>584</v>
      </c>
      <c r="I32" s="63"/>
      <c r="J32" s="63"/>
      <c r="K32" s="75">
        <f t="shared" si="10"/>
        <v>584</v>
      </c>
      <c r="L32" s="72">
        <f t="shared" si="11"/>
        <v>55.187999999999995</v>
      </c>
      <c r="M32" s="72">
        <f t="shared" si="12"/>
        <v>70.956000000000003</v>
      </c>
      <c r="N32" s="63">
        <v>71</v>
      </c>
      <c r="O32" s="102"/>
      <c r="P32" s="102"/>
      <c r="Q32" s="102">
        <v>66.069999999999993</v>
      </c>
      <c r="R32" s="72">
        <f t="shared" si="13"/>
        <v>121.25799999999998</v>
      </c>
      <c r="S32" s="63">
        <f>1752/6</f>
        <v>292</v>
      </c>
      <c r="T32" s="141">
        <f t="shared" si="14"/>
        <v>170.74200000000002</v>
      </c>
      <c r="U32" s="63"/>
      <c r="V32" s="123" t="s">
        <v>222</v>
      </c>
      <c r="W32" s="126" t="s">
        <v>209</v>
      </c>
      <c r="X32">
        <v>1600022</v>
      </c>
    </row>
    <row r="33" spans="1:24" ht="31.2" customHeight="1" x14ac:dyDescent="0.3">
      <c r="A33" s="71" t="s">
        <v>119</v>
      </c>
      <c r="B33" s="71">
        <v>2023</v>
      </c>
      <c r="C33" s="73" t="s">
        <v>89</v>
      </c>
      <c r="D33" s="73" t="s">
        <v>88</v>
      </c>
      <c r="E33" s="73" t="s">
        <v>90</v>
      </c>
      <c r="F33" s="74">
        <v>527</v>
      </c>
      <c r="G33" s="63">
        <v>30</v>
      </c>
      <c r="H33" s="72">
        <f t="shared" si="9"/>
        <v>527</v>
      </c>
      <c r="I33" s="63"/>
      <c r="J33" s="63"/>
      <c r="K33" s="75">
        <f t="shared" si="10"/>
        <v>527</v>
      </c>
      <c r="L33" s="72">
        <f t="shared" si="11"/>
        <v>49.80149999999999</v>
      </c>
      <c r="M33" s="72">
        <f t="shared" si="12"/>
        <v>64.030500000000004</v>
      </c>
      <c r="N33" s="63">
        <v>71</v>
      </c>
      <c r="O33" s="102"/>
      <c r="P33" s="102"/>
      <c r="Q33" s="102"/>
      <c r="R33" s="72">
        <f t="shared" si="13"/>
        <v>49.80149999999999</v>
      </c>
      <c r="S33" s="72">
        <f>1581/7</f>
        <v>225.85714285714286</v>
      </c>
      <c r="T33" s="141">
        <f t="shared" si="14"/>
        <v>251.34135714285716</v>
      </c>
      <c r="U33" s="63"/>
      <c r="V33" s="123" t="s">
        <v>218</v>
      </c>
      <c r="W33" s="126" t="s">
        <v>205</v>
      </c>
      <c r="X33">
        <v>1410036</v>
      </c>
    </row>
    <row r="34" spans="1:24" ht="31.2" customHeight="1" x14ac:dyDescent="0.3">
      <c r="A34" s="71" t="s">
        <v>119</v>
      </c>
      <c r="B34" s="71">
        <v>2023</v>
      </c>
      <c r="C34" s="73" t="s">
        <v>181</v>
      </c>
      <c r="D34" s="73" t="s">
        <v>95</v>
      </c>
      <c r="E34" s="73" t="s">
        <v>87</v>
      </c>
      <c r="F34" s="74">
        <v>500</v>
      </c>
      <c r="G34" s="63">
        <v>30</v>
      </c>
      <c r="H34" s="72">
        <f t="shared" si="9"/>
        <v>500</v>
      </c>
      <c r="I34" s="63"/>
      <c r="J34" s="63"/>
      <c r="K34" s="75">
        <f t="shared" si="10"/>
        <v>500</v>
      </c>
      <c r="L34" s="72">
        <f t="shared" si="11"/>
        <v>47.249999999999993</v>
      </c>
      <c r="M34" s="72">
        <f t="shared" si="12"/>
        <v>60.75</v>
      </c>
      <c r="N34" s="63">
        <v>71</v>
      </c>
      <c r="O34" s="102">
        <v>46.1</v>
      </c>
      <c r="P34" s="102"/>
      <c r="Q34" s="102"/>
      <c r="R34" s="72">
        <f t="shared" si="13"/>
        <v>93.35</v>
      </c>
      <c r="S34" s="63">
        <f>1500/6</f>
        <v>250</v>
      </c>
      <c r="T34" s="141">
        <f>K34-R34-S34</f>
        <v>156.64999999999998</v>
      </c>
      <c r="U34" s="63"/>
      <c r="V34" s="123" t="s">
        <v>216</v>
      </c>
      <c r="W34" s="126" t="s">
        <v>217</v>
      </c>
      <c r="X34">
        <v>1700427</v>
      </c>
    </row>
    <row r="35" spans="1:24" ht="31.2" customHeight="1" x14ac:dyDescent="0.3">
      <c r="A35" s="71" t="s">
        <v>119</v>
      </c>
      <c r="B35" s="71">
        <v>2023</v>
      </c>
      <c r="C35" s="73" t="s">
        <v>182</v>
      </c>
      <c r="D35" s="73" t="s">
        <v>65</v>
      </c>
      <c r="E35" s="73" t="s">
        <v>66</v>
      </c>
      <c r="F35" s="76">
        <v>614</v>
      </c>
      <c r="G35" s="63">
        <v>30</v>
      </c>
      <c r="H35" s="72">
        <f t="shared" si="9"/>
        <v>614</v>
      </c>
      <c r="I35" s="77"/>
      <c r="J35" s="77"/>
      <c r="K35" s="75">
        <f t="shared" si="10"/>
        <v>614</v>
      </c>
      <c r="L35" s="72">
        <f t="shared" si="11"/>
        <v>58.022999999999989</v>
      </c>
      <c r="M35" s="72">
        <f t="shared" si="12"/>
        <v>74.600999999999999</v>
      </c>
      <c r="N35" s="77">
        <v>71</v>
      </c>
      <c r="O35" s="77"/>
      <c r="P35" s="77"/>
      <c r="Q35" s="77"/>
      <c r="R35" s="78">
        <f t="shared" si="13"/>
        <v>58.022999999999989</v>
      </c>
      <c r="S35" s="77">
        <f>1698/10</f>
        <v>169.8</v>
      </c>
      <c r="T35" s="141">
        <f t="shared" si="14"/>
        <v>386.17699999999996</v>
      </c>
      <c r="U35" s="77"/>
      <c r="V35" s="123" t="s">
        <v>223</v>
      </c>
      <c r="W35" s="126" t="s">
        <v>224</v>
      </c>
      <c r="X35">
        <v>1700027</v>
      </c>
    </row>
    <row r="36" spans="1:24" x14ac:dyDescent="0.3">
      <c r="A36" s="327" t="s">
        <v>185</v>
      </c>
      <c r="B36" s="328"/>
      <c r="C36" s="328"/>
      <c r="D36" s="328"/>
      <c r="E36" s="329"/>
      <c r="F36" s="79">
        <f>SUM(F29:F35)</f>
        <v>4052</v>
      </c>
      <c r="G36" s="79">
        <f t="shared" ref="G36:S36" si="15">SUM(G29:G35)</f>
        <v>210</v>
      </c>
      <c r="H36" s="79">
        <f t="shared" si="15"/>
        <v>4052</v>
      </c>
      <c r="I36" s="79">
        <f t="shared" si="15"/>
        <v>0</v>
      </c>
      <c r="J36" s="79">
        <f t="shared" si="15"/>
        <v>0</v>
      </c>
      <c r="K36" s="79">
        <f t="shared" si="15"/>
        <v>4052</v>
      </c>
      <c r="L36" s="79">
        <f t="shared" si="15"/>
        <v>382.91399999999993</v>
      </c>
      <c r="M36" s="79">
        <f t="shared" si="15"/>
        <v>492.31800000000004</v>
      </c>
      <c r="N36" s="79"/>
      <c r="O36" s="79">
        <f t="shared" si="15"/>
        <v>138.12</v>
      </c>
      <c r="P36" s="79">
        <f t="shared" si="15"/>
        <v>0</v>
      </c>
      <c r="Q36" s="79">
        <f t="shared" si="15"/>
        <v>66.069999999999993</v>
      </c>
      <c r="R36" s="79">
        <f t="shared" si="15"/>
        <v>587.10399999999993</v>
      </c>
      <c r="S36" s="79">
        <f t="shared" si="15"/>
        <v>1641.4904761904761</v>
      </c>
      <c r="T36" s="79">
        <f>SUM(T29:T35)</f>
        <v>1823.4055238095236</v>
      </c>
      <c r="U36" s="79"/>
    </row>
    <row r="39" spans="1:24" x14ac:dyDescent="0.3">
      <c r="C39">
        <f>225.86*4</f>
        <v>903.44</v>
      </c>
      <c r="E39" s="330" t="s">
        <v>28</v>
      </c>
      <c r="F39" s="330"/>
      <c r="G39" s="330"/>
      <c r="H39" s="84"/>
      <c r="I39" s="85"/>
      <c r="J39" s="85"/>
      <c r="K39" s="86"/>
      <c r="L39" s="330" t="s">
        <v>187</v>
      </c>
      <c r="M39" s="330"/>
      <c r="N39" s="330"/>
      <c r="O39" s="330"/>
      <c r="P39" s="330"/>
      <c r="Q39" s="330"/>
    </row>
    <row r="40" spans="1:24" x14ac:dyDescent="0.3">
      <c r="E40" s="87"/>
      <c r="F40" s="87"/>
      <c r="G40" s="87"/>
      <c r="H40" s="84"/>
      <c r="I40" s="85"/>
      <c r="J40" s="85"/>
      <c r="K40" s="86"/>
      <c r="L40" s="87"/>
      <c r="M40" s="87"/>
      <c r="N40" s="87"/>
      <c r="O40" s="87"/>
      <c r="P40" s="87"/>
      <c r="Q40" s="87"/>
    </row>
    <row r="41" spans="1:24" x14ac:dyDescent="0.3">
      <c r="E41" s="145"/>
      <c r="F41" s="146"/>
      <c r="G41" s="145"/>
      <c r="H41" s="146"/>
      <c r="I41" s="85"/>
      <c r="J41" s="85"/>
      <c r="K41" s="88"/>
      <c r="L41" s="88"/>
      <c r="M41" s="88"/>
      <c r="N41" s="88"/>
      <c r="O41" s="88"/>
      <c r="P41" s="89"/>
      <c r="Q41" s="89"/>
    </row>
    <row r="42" spans="1:24" x14ac:dyDescent="0.3">
      <c r="E42" s="317" t="s">
        <v>188</v>
      </c>
      <c r="F42" s="317"/>
      <c r="G42" s="317"/>
      <c r="H42" s="317"/>
      <c r="I42" s="85"/>
      <c r="J42" s="85"/>
      <c r="K42" s="88"/>
      <c r="L42" s="331" t="s">
        <v>236</v>
      </c>
      <c r="M42" s="331"/>
      <c r="N42" s="331"/>
      <c r="O42" s="331"/>
      <c r="P42" s="331"/>
      <c r="Q42" s="331"/>
    </row>
    <row r="43" spans="1:24" x14ac:dyDescent="0.3">
      <c r="E43" s="316" t="s">
        <v>238</v>
      </c>
      <c r="F43" s="316"/>
      <c r="G43" s="316"/>
      <c r="H43" s="316"/>
      <c r="L43" s="316" t="s">
        <v>237</v>
      </c>
      <c r="M43" s="316"/>
      <c r="N43" s="316"/>
      <c r="O43" s="316"/>
      <c r="P43" s="316"/>
      <c r="Q43" s="316"/>
    </row>
    <row r="50" spans="1:24" ht="15.6" customHeight="1" thickBot="1" x14ac:dyDescent="0.35"/>
    <row r="51" spans="1:24" ht="15.6" customHeight="1" x14ac:dyDescent="0.3">
      <c r="A51" s="294"/>
      <c r="B51" s="295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6"/>
    </row>
    <row r="52" spans="1:24" ht="15.6" customHeight="1" x14ac:dyDescent="0.3">
      <c r="A52" s="307"/>
      <c r="B52" s="308"/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9"/>
    </row>
    <row r="53" spans="1:24" ht="15.6" customHeight="1" x14ac:dyDescent="0.3">
      <c r="A53" s="307"/>
      <c r="B53" s="308"/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09"/>
    </row>
    <row r="54" spans="1:24" ht="15.6" customHeight="1" x14ac:dyDescent="0.3">
      <c r="A54" s="307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9"/>
    </row>
    <row r="55" spans="1:24" ht="15.6" customHeight="1" thickBot="1" x14ac:dyDescent="0.35">
      <c r="A55" s="307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9"/>
    </row>
    <row r="56" spans="1:24" ht="16.2" customHeight="1" thickBot="1" x14ac:dyDescent="0.35">
      <c r="A56" s="324" t="s">
        <v>176</v>
      </c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6"/>
    </row>
    <row r="57" spans="1:24" ht="38.4" customHeight="1" x14ac:dyDescent="0.3">
      <c r="A57" s="104" t="s">
        <v>143</v>
      </c>
      <c r="B57" s="105" t="s">
        <v>144</v>
      </c>
      <c r="C57" s="105" t="s">
        <v>145</v>
      </c>
      <c r="D57" s="105" t="s">
        <v>146</v>
      </c>
      <c r="E57" s="105" t="s">
        <v>147</v>
      </c>
      <c r="F57" s="105" t="s">
        <v>148</v>
      </c>
      <c r="G57" s="105" t="s">
        <v>151</v>
      </c>
      <c r="H57" s="105" t="s">
        <v>174</v>
      </c>
      <c r="I57" s="105" t="s">
        <v>149</v>
      </c>
      <c r="J57" s="105" t="s">
        <v>150</v>
      </c>
      <c r="K57" s="105" t="s">
        <v>152</v>
      </c>
      <c r="L57" s="105" t="s">
        <v>186</v>
      </c>
      <c r="M57" s="105" t="s">
        <v>154</v>
      </c>
      <c r="N57" s="105" t="s">
        <v>155</v>
      </c>
      <c r="O57" s="105" t="s">
        <v>156</v>
      </c>
      <c r="P57" s="105" t="s">
        <v>157</v>
      </c>
      <c r="Q57" s="105" t="s">
        <v>158</v>
      </c>
      <c r="R57" s="105" t="s">
        <v>159</v>
      </c>
      <c r="S57" s="105" t="s">
        <v>160</v>
      </c>
      <c r="T57" s="105" t="s">
        <v>13</v>
      </c>
      <c r="U57" s="106" t="s">
        <v>161</v>
      </c>
      <c r="V57" s="129" t="s">
        <v>220</v>
      </c>
      <c r="W57" s="130" t="s">
        <v>229</v>
      </c>
      <c r="X57" s="127" t="s">
        <v>219</v>
      </c>
    </row>
    <row r="58" spans="1:24" ht="31.2" customHeight="1" x14ac:dyDescent="0.3">
      <c r="A58" s="71" t="s">
        <v>119</v>
      </c>
      <c r="B58" s="71">
        <v>2023</v>
      </c>
      <c r="C58" s="73">
        <v>2200446587</v>
      </c>
      <c r="D58" s="73" t="s">
        <v>190</v>
      </c>
      <c r="E58" s="73" t="s">
        <v>191</v>
      </c>
      <c r="F58" s="91">
        <v>527</v>
      </c>
      <c r="G58" s="63">
        <v>30</v>
      </c>
      <c r="H58" s="72">
        <f>F58</f>
        <v>527</v>
      </c>
      <c r="I58" s="92">
        <f>H58/12</f>
        <v>43.916666666666664</v>
      </c>
      <c r="J58" s="72">
        <f>450/12</f>
        <v>37.5</v>
      </c>
      <c r="K58" s="119">
        <f t="shared" ref="K58:K63" si="16">ROUND(H58+I58+J58,2)</f>
        <v>608.41999999999996</v>
      </c>
      <c r="L58" s="92">
        <f>H58*11.45%</f>
        <v>60.341499999999996</v>
      </c>
      <c r="M58" s="92">
        <f t="shared" ref="M58:M63" si="17">F58*11.65%</f>
        <v>61.395500000000006</v>
      </c>
      <c r="N58" s="63">
        <v>71</v>
      </c>
      <c r="O58" s="63"/>
      <c r="P58" s="72"/>
      <c r="Q58" s="63"/>
      <c r="R58" s="119">
        <f t="shared" ref="R58:R63" si="18">L58+O58+P58+Q58</f>
        <v>60.341499999999996</v>
      </c>
      <c r="S58" s="152"/>
      <c r="T58" s="140">
        <f t="shared" ref="T58:T63" si="19">K58-R58-S58</f>
        <v>548.07849999999996</v>
      </c>
      <c r="U58" s="63"/>
      <c r="V58" s="123" t="s">
        <v>230</v>
      </c>
      <c r="W58" s="126" t="s">
        <v>209</v>
      </c>
      <c r="X58">
        <v>1600022</v>
      </c>
    </row>
    <row r="59" spans="1:24" ht="31.2" customHeight="1" x14ac:dyDescent="0.3">
      <c r="A59" s="71" t="s">
        <v>119</v>
      </c>
      <c r="B59" s="71">
        <v>2023</v>
      </c>
      <c r="C59" s="73">
        <v>2200238240</v>
      </c>
      <c r="D59" s="73" t="s">
        <v>125</v>
      </c>
      <c r="E59" s="73" t="s">
        <v>66</v>
      </c>
      <c r="F59" s="91">
        <v>566</v>
      </c>
      <c r="G59" s="63">
        <v>30</v>
      </c>
      <c r="H59" s="72">
        <f>F59</f>
        <v>566</v>
      </c>
      <c r="I59" s="92"/>
      <c r="J59" s="72"/>
      <c r="K59" s="119">
        <f t="shared" si="16"/>
        <v>566</v>
      </c>
      <c r="L59" s="92">
        <f>F59*11.45%</f>
        <v>64.806999999999988</v>
      </c>
      <c r="M59" s="92">
        <f t="shared" si="17"/>
        <v>65.939000000000007</v>
      </c>
      <c r="N59" s="63">
        <v>71</v>
      </c>
      <c r="O59" s="63"/>
      <c r="P59" s="72"/>
      <c r="Q59" s="63"/>
      <c r="R59" s="119">
        <f t="shared" si="18"/>
        <v>64.806999999999988</v>
      </c>
      <c r="S59" s="103">
        <v>377.33</v>
      </c>
      <c r="T59" s="140">
        <f t="shared" si="19"/>
        <v>123.863</v>
      </c>
      <c r="U59" s="152">
        <f>S59+T59</f>
        <v>501.19299999999998</v>
      </c>
      <c r="V59" s="123" t="s">
        <v>225</v>
      </c>
      <c r="W59" s="126" t="s">
        <v>226</v>
      </c>
      <c r="X59">
        <v>1600303</v>
      </c>
    </row>
    <row r="60" spans="1:24" ht="31.2" customHeight="1" x14ac:dyDescent="0.3">
      <c r="A60" s="71" t="s">
        <v>119</v>
      </c>
      <c r="B60" s="71">
        <v>2023</v>
      </c>
      <c r="C60" s="142" t="s">
        <v>235</v>
      </c>
      <c r="D60" s="73" t="s">
        <v>195</v>
      </c>
      <c r="E60" s="73" t="s">
        <v>196</v>
      </c>
      <c r="F60" s="91">
        <v>1212</v>
      </c>
      <c r="G60" s="63">
        <v>16</v>
      </c>
      <c r="H60" s="72">
        <f>+F60/31*G60</f>
        <v>625.54838709677415</v>
      </c>
      <c r="I60" s="173">
        <f>H60/12</f>
        <v>52.129032258064512</v>
      </c>
      <c r="J60" s="173">
        <f>450/12</f>
        <v>37.5</v>
      </c>
      <c r="K60" s="119">
        <f t="shared" si="16"/>
        <v>715.18</v>
      </c>
      <c r="L60" s="92">
        <f>F60*11.45%</f>
        <v>138.774</v>
      </c>
      <c r="M60" s="92">
        <f t="shared" si="17"/>
        <v>141.19800000000001</v>
      </c>
      <c r="N60" s="63">
        <v>71</v>
      </c>
      <c r="O60" s="63"/>
      <c r="P60" s="72"/>
      <c r="Q60" s="63"/>
      <c r="R60" s="119">
        <f t="shared" si="18"/>
        <v>138.774</v>
      </c>
      <c r="S60" s="63"/>
      <c r="T60" s="140">
        <f t="shared" si="19"/>
        <v>576.40599999999995</v>
      </c>
      <c r="U60" s="152">
        <f>S60+T60</f>
        <v>576.40599999999995</v>
      </c>
      <c r="V60" s="123" t="s">
        <v>214</v>
      </c>
      <c r="W60" s="126" t="s">
        <v>213</v>
      </c>
      <c r="X60">
        <v>2600021</v>
      </c>
    </row>
    <row r="61" spans="1:24" ht="31.2" customHeight="1" x14ac:dyDescent="0.3">
      <c r="A61" s="71" t="s">
        <v>119</v>
      </c>
      <c r="B61" s="107">
        <v>2023</v>
      </c>
      <c r="C61" s="73">
        <v>2200179071</v>
      </c>
      <c r="D61" s="197" t="s">
        <v>192</v>
      </c>
      <c r="E61" s="198" t="s">
        <v>84</v>
      </c>
      <c r="F61" s="199">
        <v>622</v>
      </c>
      <c r="G61" s="103">
        <v>30</v>
      </c>
      <c r="H61" s="122">
        <f>F61</f>
        <v>622</v>
      </c>
      <c r="I61" s="122">
        <f>F61/12</f>
        <v>51.833333333333336</v>
      </c>
      <c r="J61" s="122">
        <f>450/12</f>
        <v>37.5</v>
      </c>
      <c r="K61" s="119">
        <f t="shared" si="16"/>
        <v>711.33</v>
      </c>
      <c r="L61" s="92">
        <f>F61*11.45%</f>
        <v>71.218999999999994</v>
      </c>
      <c r="M61" s="92">
        <f t="shared" si="17"/>
        <v>72.463000000000008</v>
      </c>
      <c r="N61" s="63">
        <v>71</v>
      </c>
      <c r="O61" s="63"/>
      <c r="P61" s="72"/>
      <c r="Q61" s="63"/>
      <c r="R61" s="119">
        <f t="shared" si="18"/>
        <v>71.218999999999994</v>
      </c>
      <c r="S61" s="63"/>
      <c r="T61" s="140">
        <f t="shared" si="19"/>
        <v>640.1110000000001</v>
      </c>
      <c r="U61" s="152">
        <f>S61+T61</f>
        <v>640.1110000000001</v>
      </c>
      <c r="V61" s="126">
        <v>2207424800</v>
      </c>
      <c r="W61" t="s">
        <v>209</v>
      </c>
      <c r="X61">
        <v>1600022</v>
      </c>
    </row>
    <row r="62" spans="1:24" ht="31.2" customHeight="1" x14ac:dyDescent="0.3">
      <c r="A62" s="71" t="s">
        <v>119</v>
      </c>
      <c r="B62" s="107">
        <v>2023</v>
      </c>
      <c r="C62" s="73">
        <v>2200334957</v>
      </c>
      <c r="D62" s="197" t="s">
        <v>193</v>
      </c>
      <c r="E62" s="198" t="s">
        <v>84</v>
      </c>
      <c r="F62" s="199">
        <v>622</v>
      </c>
      <c r="G62" s="103">
        <v>30</v>
      </c>
      <c r="H62" s="122">
        <f>F62</f>
        <v>622</v>
      </c>
      <c r="I62" s="122">
        <f>F62/12</f>
        <v>51.833333333333336</v>
      </c>
      <c r="J62" s="122">
        <f>450/12</f>
        <v>37.5</v>
      </c>
      <c r="K62" s="119">
        <f t="shared" si="16"/>
        <v>711.33</v>
      </c>
      <c r="L62" s="92">
        <f>F62*11.45%</f>
        <v>71.218999999999994</v>
      </c>
      <c r="M62" s="92">
        <f t="shared" si="17"/>
        <v>72.463000000000008</v>
      </c>
      <c r="N62" s="63">
        <v>71</v>
      </c>
      <c r="O62" s="63"/>
      <c r="P62" s="72"/>
      <c r="Q62" s="63"/>
      <c r="R62" s="119">
        <f t="shared" si="18"/>
        <v>71.218999999999994</v>
      </c>
      <c r="S62" s="63"/>
      <c r="T62" s="140">
        <f t="shared" si="19"/>
        <v>640.1110000000001</v>
      </c>
      <c r="U62" s="152">
        <f>S62+T62</f>
        <v>640.1110000000001</v>
      </c>
      <c r="V62" s="126" t="s">
        <v>215</v>
      </c>
      <c r="W62" t="s">
        <v>209</v>
      </c>
      <c r="X62">
        <v>1600022</v>
      </c>
    </row>
    <row r="63" spans="1:24" ht="31.2" customHeight="1" x14ac:dyDescent="0.3">
      <c r="A63" s="71" t="s">
        <v>119</v>
      </c>
      <c r="B63" s="107">
        <v>2023</v>
      </c>
      <c r="C63" s="73">
        <v>2200282198</v>
      </c>
      <c r="D63" s="73" t="s">
        <v>194</v>
      </c>
      <c r="E63" s="100" t="s">
        <v>66</v>
      </c>
      <c r="F63" s="101">
        <v>596</v>
      </c>
      <c r="G63" s="102">
        <v>30</v>
      </c>
      <c r="H63" s="99">
        <f>F63</f>
        <v>596</v>
      </c>
      <c r="I63" s="99">
        <f>F63/12</f>
        <v>49.666666666666664</v>
      </c>
      <c r="J63" s="99">
        <f>450/12</f>
        <v>37.5</v>
      </c>
      <c r="K63" s="119">
        <f t="shared" si="16"/>
        <v>683.17</v>
      </c>
      <c r="L63" s="92">
        <f>F63*11.45%</f>
        <v>68.24199999999999</v>
      </c>
      <c r="M63" s="92">
        <f t="shared" si="17"/>
        <v>69.433999999999997</v>
      </c>
      <c r="N63" s="63">
        <v>71</v>
      </c>
      <c r="O63" s="63"/>
      <c r="P63" s="72"/>
      <c r="Q63" s="63"/>
      <c r="R63" s="119">
        <f t="shared" si="18"/>
        <v>68.24199999999999</v>
      </c>
      <c r="S63" s="63">
        <v>20.57</v>
      </c>
      <c r="T63" s="140">
        <f t="shared" si="19"/>
        <v>594.35799999999995</v>
      </c>
      <c r="U63" s="152">
        <f>S63+T63</f>
        <v>614.928</v>
      </c>
      <c r="V63" s="126" t="s">
        <v>227</v>
      </c>
      <c r="W63" t="s">
        <v>205</v>
      </c>
      <c r="X63">
        <v>1410036</v>
      </c>
    </row>
    <row r="64" spans="1:24" ht="31.2" customHeight="1" x14ac:dyDescent="0.3">
      <c r="A64" s="332" t="s">
        <v>185</v>
      </c>
      <c r="B64" s="333"/>
      <c r="C64" s="333"/>
      <c r="D64" s="333"/>
      <c r="E64" s="334"/>
      <c r="F64" s="63"/>
      <c r="G64" s="63"/>
      <c r="H64" s="136">
        <f>SUM(H58:H63)</f>
        <v>3558.5483870967741</v>
      </c>
      <c r="I64" s="136">
        <f>SUM(I58:I63)</f>
        <v>249.37903225806451</v>
      </c>
      <c r="J64" s="136">
        <f>SUM(J58:J63)</f>
        <v>187.5</v>
      </c>
      <c r="K64" s="136">
        <f t="shared" ref="K64:R64" si="20">SUM(K58:K60)</f>
        <v>1889.6</v>
      </c>
      <c r="L64" s="136">
        <f>SUM(L58:L63)</f>
        <v>474.60249999999996</v>
      </c>
      <c r="M64" s="136">
        <f>SUM(M58:M63)</f>
        <v>482.89250000000004</v>
      </c>
      <c r="N64" s="136">
        <f t="shared" si="20"/>
        <v>213</v>
      </c>
      <c r="O64" s="136">
        <f t="shared" si="20"/>
        <v>0</v>
      </c>
      <c r="P64" s="136">
        <f t="shared" si="20"/>
        <v>0</v>
      </c>
      <c r="Q64" s="136">
        <f t="shared" si="20"/>
        <v>0</v>
      </c>
      <c r="R64" s="136">
        <f t="shared" si="20"/>
        <v>263.92250000000001</v>
      </c>
      <c r="S64" s="136">
        <f>SUM(S58:S63)</f>
        <v>397.9</v>
      </c>
      <c r="T64" s="136">
        <f>SUM(T58:T63)</f>
        <v>3122.9274999999998</v>
      </c>
      <c r="U64" s="137"/>
    </row>
    <row r="65" spans="1:26" x14ac:dyDescent="0.3">
      <c r="E65" s="330" t="s">
        <v>28</v>
      </c>
      <c r="F65" s="330"/>
      <c r="G65" s="330"/>
      <c r="H65" s="84"/>
      <c r="I65" s="85"/>
      <c r="J65" s="85"/>
      <c r="K65" s="86"/>
      <c r="L65" s="330" t="s">
        <v>187</v>
      </c>
      <c r="M65" s="330"/>
      <c r="N65" s="330"/>
      <c r="O65" s="330"/>
      <c r="P65" s="330"/>
      <c r="Q65" s="330"/>
    </row>
    <row r="66" spans="1:26" x14ac:dyDescent="0.3">
      <c r="E66" s="87"/>
      <c r="F66" s="87"/>
      <c r="G66" s="87"/>
      <c r="H66" s="84"/>
      <c r="I66" s="85"/>
      <c r="J66" s="85"/>
      <c r="K66" s="154">
        <f>+K64+M64</f>
        <v>2372.4924999999998</v>
      </c>
      <c r="L66" s="87"/>
      <c r="M66" s="87"/>
      <c r="N66" s="87"/>
      <c r="O66" s="87"/>
      <c r="P66" s="87"/>
      <c r="Q66" s="87"/>
    </row>
    <row r="67" spans="1:26" x14ac:dyDescent="0.3">
      <c r="E67" s="145"/>
      <c r="F67" s="146"/>
      <c r="G67" s="145"/>
      <c r="H67" s="146"/>
      <c r="I67" s="85"/>
      <c r="J67" s="85"/>
      <c r="K67" s="88"/>
      <c r="L67" s="88"/>
      <c r="M67" s="88"/>
      <c r="N67" s="88"/>
      <c r="O67" s="88"/>
      <c r="P67" s="89"/>
      <c r="Q67" s="89"/>
    </row>
    <row r="68" spans="1:26" x14ac:dyDescent="0.3">
      <c r="E68" s="317" t="s">
        <v>188</v>
      </c>
      <c r="F68" s="317"/>
      <c r="G68" s="317"/>
      <c r="H68" s="317"/>
      <c r="I68" s="85"/>
      <c r="J68" s="85"/>
      <c r="K68" s="88"/>
      <c r="L68" s="331" t="s">
        <v>236</v>
      </c>
      <c r="M68" s="331"/>
      <c r="N68" s="331"/>
      <c r="O68" s="331"/>
      <c r="P68" s="331"/>
      <c r="Q68" s="331"/>
    </row>
    <row r="69" spans="1:26" x14ac:dyDescent="0.3">
      <c r="E69" s="316" t="s">
        <v>238</v>
      </c>
      <c r="F69" s="316"/>
      <c r="G69" s="316"/>
      <c r="H69" s="316"/>
      <c r="L69" s="316" t="s">
        <v>237</v>
      </c>
      <c r="M69" s="316"/>
      <c r="N69" s="316"/>
      <c r="O69" s="316"/>
      <c r="P69" s="316"/>
      <c r="Q69" s="316"/>
    </row>
    <row r="71" spans="1:26" ht="16.2" thickBot="1" x14ac:dyDescent="0.35"/>
    <row r="72" spans="1:26" ht="18.600000000000001" thickBot="1" x14ac:dyDescent="0.35">
      <c r="A72" s="313" t="s">
        <v>201</v>
      </c>
      <c r="B72" s="314"/>
      <c r="C72" s="314"/>
      <c r="D72" s="314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14"/>
      <c r="P72" s="314"/>
      <c r="Q72" s="314"/>
      <c r="R72" s="314"/>
      <c r="S72" s="314"/>
      <c r="T72" s="314"/>
      <c r="U72" s="314"/>
      <c r="V72" s="315"/>
    </row>
    <row r="73" spans="1:26" ht="72" x14ac:dyDescent="0.3">
      <c r="A73" s="110" t="s">
        <v>143</v>
      </c>
      <c r="B73" s="111" t="s">
        <v>144</v>
      </c>
      <c r="C73" s="111" t="s">
        <v>145</v>
      </c>
      <c r="D73" s="111" t="s">
        <v>146</v>
      </c>
      <c r="E73" s="111" t="s">
        <v>147</v>
      </c>
      <c r="F73" s="111" t="s">
        <v>148</v>
      </c>
      <c r="G73" s="111" t="s">
        <v>151</v>
      </c>
      <c r="H73" s="111" t="s">
        <v>174</v>
      </c>
      <c r="I73" s="111" t="s">
        <v>149</v>
      </c>
      <c r="J73" s="111" t="s">
        <v>150</v>
      </c>
      <c r="K73" s="111" t="s">
        <v>202</v>
      </c>
      <c r="L73" s="111" t="s">
        <v>100</v>
      </c>
      <c r="M73" s="111" t="s">
        <v>152</v>
      </c>
      <c r="N73" s="111" t="s">
        <v>186</v>
      </c>
      <c r="O73" s="111" t="s">
        <v>154</v>
      </c>
      <c r="P73" s="111" t="s">
        <v>155</v>
      </c>
      <c r="Q73" s="111" t="s">
        <v>156</v>
      </c>
      <c r="R73" s="111" t="s">
        <v>157</v>
      </c>
      <c r="S73" s="111" t="s">
        <v>158</v>
      </c>
      <c r="T73" s="111" t="s">
        <v>159</v>
      </c>
      <c r="U73" s="111" t="s">
        <v>160</v>
      </c>
      <c r="V73" s="113" t="s">
        <v>13</v>
      </c>
      <c r="W73" s="124" t="s">
        <v>161</v>
      </c>
      <c r="X73" s="126"/>
    </row>
    <row r="74" spans="1:26" ht="27.6" x14ac:dyDescent="0.3">
      <c r="A74" s="71" t="s">
        <v>119</v>
      </c>
      <c r="B74" s="107">
        <v>2023</v>
      </c>
      <c r="C74" s="73">
        <v>2200179071</v>
      </c>
      <c r="D74" s="73" t="s">
        <v>192</v>
      </c>
      <c r="E74" s="100" t="s">
        <v>84</v>
      </c>
      <c r="F74" s="101">
        <v>622</v>
      </c>
      <c r="G74" s="102">
        <v>30</v>
      </c>
      <c r="H74" s="99">
        <f>F74</f>
        <v>622</v>
      </c>
      <c r="I74" s="99">
        <f>F74/12</f>
        <v>51.833333333333336</v>
      </c>
      <c r="J74" s="99">
        <f>450/12</f>
        <v>37.5</v>
      </c>
      <c r="K74" s="122">
        <f>T88</f>
        <v>195.72</v>
      </c>
      <c r="L74" s="122">
        <f>F74*8.33/100</f>
        <v>51.812600000000003</v>
      </c>
      <c r="M74" s="112">
        <f>F74+I74+J74+K74+L74</f>
        <v>958.86593333333337</v>
      </c>
      <c r="N74" s="99">
        <f>F74*11.45%</f>
        <v>71.218999999999994</v>
      </c>
      <c r="O74" s="92">
        <f>F74*11.65%</f>
        <v>72.463000000000008</v>
      </c>
      <c r="P74" s="63">
        <v>71</v>
      </c>
      <c r="Q74" s="63"/>
      <c r="R74" s="63"/>
      <c r="S74" s="63"/>
      <c r="T74" s="112">
        <f>N74+Q74+R74+S74</f>
        <v>71.218999999999994</v>
      </c>
      <c r="U74" s="63"/>
      <c r="V74" s="114">
        <f>M74-T74-U74</f>
        <v>887.64693333333344</v>
      </c>
      <c r="W74" s="125"/>
      <c r="X74" s="126">
        <v>2207424800</v>
      </c>
      <c r="Y74" t="s">
        <v>209</v>
      </c>
      <c r="Z74">
        <v>1600022</v>
      </c>
    </row>
    <row r="75" spans="1:26" ht="27.6" x14ac:dyDescent="0.3">
      <c r="A75" s="71" t="s">
        <v>119</v>
      </c>
      <c r="B75" s="107">
        <v>2023</v>
      </c>
      <c r="C75" s="73">
        <v>2200334957</v>
      </c>
      <c r="D75" s="73" t="s">
        <v>193</v>
      </c>
      <c r="E75" s="100" t="s">
        <v>84</v>
      </c>
      <c r="F75" s="101">
        <v>622</v>
      </c>
      <c r="G75" s="102">
        <v>30</v>
      </c>
      <c r="H75" s="99">
        <f>F75</f>
        <v>622</v>
      </c>
      <c r="I75" s="99">
        <f>F75/12</f>
        <v>51.833333333333336</v>
      </c>
      <c r="J75" s="99">
        <f>450/12</f>
        <v>37.5</v>
      </c>
      <c r="K75" s="122">
        <f>T89</f>
        <v>151.45000000000002</v>
      </c>
      <c r="L75" s="122">
        <f>F75*833%/100</f>
        <v>51.812600000000003</v>
      </c>
      <c r="M75" s="112">
        <f>F75+I75+J75+K75+L75</f>
        <v>914.59593333333339</v>
      </c>
      <c r="N75" s="99">
        <f>F75*11.45%</f>
        <v>71.218999999999994</v>
      </c>
      <c r="O75" s="92">
        <f>F75*11.65%</f>
        <v>72.463000000000008</v>
      </c>
      <c r="P75" s="63">
        <v>71</v>
      </c>
      <c r="Q75" s="63"/>
      <c r="R75" s="63"/>
      <c r="S75" s="63"/>
      <c r="T75" s="112">
        <f>N75+Q75+R75+S75</f>
        <v>71.218999999999994</v>
      </c>
      <c r="U75" s="63"/>
      <c r="V75" s="114">
        <f>M75-T75-U75</f>
        <v>843.37693333333345</v>
      </c>
      <c r="W75" s="125"/>
      <c r="X75" s="126" t="s">
        <v>215</v>
      </c>
      <c r="Y75" t="s">
        <v>209</v>
      </c>
      <c r="Z75">
        <v>1600022</v>
      </c>
    </row>
    <row r="76" spans="1:26" x14ac:dyDescent="0.3">
      <c r="A76" s="71" t="s">
        <v>119</v>
      </c>
      <c r="B76" s="107">
        <v>2023</v>
      </c>
      <c r="C76" s="73">
        <v>2200282198</v>
      </c>
      <c r="D76" s="73" t="s">
        <v>194</v>
      </c>
      <c r="E76" s="100" t="s">
        <v>66</v>
      </c>
      <c r="F76" s="101">
        <v>596</v>
      </c>
      <c r="G76" s="102">
        <v>30</v>
      </c>
      <c r="H76" s="99">
        <f>F76</f>
        <v>596</v>
      </c>
      <c r="I76" s="99">
        <f>F76/12</f>
        <v>49.666666666666664</v>
      </c>
      <c r="J76" s="99">
        <f>450/12</f>
        <v>37.5</v>
      </c>
      <c r="K76" s="122">
        <f>T90</f>
        <v>116.5</v>
      </c>
      <c r="L76" s="122">
        <f>F76*833%/100</f>
        <v>49.646800000000006</v>
      </c>
      <c r="M76" s="112">
        <f>F76+I76+J76+K76+L76</f>
        <v>849.31346666666661</v>
      </c>
      <c r="N76" s="99">
        <f>F76*11.45%</f>
        <v>68.24199999999999</v>
      </c>
      <c r="O76" s="92">
        <f>F76*11.65%</f>
        <v>69.433999999999997</v>
      </c>
      <c r="P76" s="63">
        <v>71</v>
      </c>
      <c r="Q76" s="63"/>
      <c r="R76" s="63"/>
      <c r="S76" s="63"/>
      <c r="T76" s="112">
        <f>N76+Q76+R76+S76</f>
        <v>68.24199999999999</v>
      </c>
      <c r="U76" s="103">
        <v>20.57</v>
      </c>
      <c r="V76" s="114">
        <f>M76-T76-U76</f>
        <v>760.5014666666666</v>
      </c>
      <c r="W76" s="125"/>
      <c r="X76" s="126" t="s">
        <v>227</v>
      </c>
      <c r="Y76" t="s">
        <v>205</v>
      </c>
      <c r="Z76">
        <v>1410036</v>
      </c>
    </row>
    <row r="77" spans="1:26" x14ac:dyDescent="0.3">
      <c r="A77" s="327" t="s">
        <v>185</v>
      </c>
      <c r="B77" s="328"/>
      <c r="C77" s="328"/>
      <c r="D77" s="328"/>
      <c r="E77" s="329"/>
      <c r="F77" s="138">
        <f>SUM(F74:F76)</f>
        <v>1840</v>
      </c>
      <c r="G77" s="138"/>
      <c r="H77" s="138">
        <f t="shared" ref="H77:V77" si="21">SUM(H74:H76)</f>
        <v>1840</v>
      </c>
      <c r="I77" s="138">
        <f t="shared" si="21"/>
        <v>153.33333333333334</v>
      </c>
      <c r="J77" s="138">
        <f t="shared" si="21"/>
        <v>112.5</v>
      </c>
      <c r="K77" s="138">
        <f t="shared" si="21"/>
        <v>463.67</v>
      </c>
      <c r="L77" s="138"/>
      <c r="M77" s="138">
        <f t="shared" si="21"/>
        <v>2722.7753333333335</v>
      </c>
      <c r="N77" s="138">
        <f t="shared" si="21"/>
        <v>210.67999999999998</v>
      </c>
      <c r="O77" s="138">
        <f t="shared" si="21"/>
        <v>214.36</v>
      </c>
      <c r="P77" s="138"/>
      <c r="Q77" s="138">
        <f t="shared" si="21"/>
        <v>0</v>
      </c>
      <c r="R77" s="138">
        <f t="shared" si="21"/>
        <v>0</v>
      </c>
      <c r="S77" s="138">
        <f t="shared" si="21"/>
        <v>0</v>
      </c>
      <c r="T77" s="138">
        <f t="shared" si="21"/>
        <v>210.67999999999998</v>
      </c>
      <c r="U77" s="138">
        <f t="shared" si="21"/>
        <v>20.57</v>
      </c>
      <c r="V77" s="139">
        <f t="shared" si="21"/>
        <v>2491.5253333333335</v>
      </c>
      <c r="W77" s="125"/>
      <c r="X77" s="126"/>
    </row>
    <row r="80" spans="1:26" x14ac:dyDescent="0.3">
      <c r="E80" s="330" t="s">
        <v>28</v>
      </c>
      <c r="F80" s="330"/>
      <c r="G80" s="330"/>
      <c r="H80" s="84"/>
      <c r="I80" s="85"/>
      <c r="J80" s="85"/>
      <c r="K80" s="86"/>
      <c r="L80" s="330" t="s">
        <v>187</v>
      </c>
      <c r="M80" s="330"/>
      <c r="N80" s="330"/>
      <c r="O80" s="330"/>
      <c r="P80" s="330"/>
      <c r="Q80" s="330"/>
      <c r="U80">
        <v>65</v>
      </c>
      <c r="V80" s="135" t="s">
        <v>231</v>
      </c>
    </row>
    <row r="81" spans="4:22" x14ac:dyDescent="0.3">
      <c r="E81" s="87"/>
      <c r="F81" s="87"/>
      <c r="G81" s="87"/>
      <c r="H81" s="84"/>
      <c r="I81" s="85"/>
      <c r="J81" s="85"/>
      <c r="K81" s="86"/>
      <c r="L81" s="87"/>
      <c r="M81" s="87"/>
      <c r="N81" s="87"/>
      <c r="O81" s="87"/>
      <c r="P81" s="87"/>
      <c r="Q81" s="87"/>
      <c r="U81">
        <v>50</v>
      </c>
      <c r="V81" s="135" t="s">
        <v>232</v>
      </c>
    </row>
    <row r="82" spans="4:22" x14ac:dyDescent="0.3">
      <c r="E82" s="88"/>
      <c r="F82" s="84"/>
      <c r="G82" s="88"/>
      <c r="H82" s="84"/>
      <c r="I82" s="85"/>
      <c r="J82" s="85"/>
      <c r="K82" s="88"/>
      <c r="L82" s="88"/>
      <c r="M82" s="88"/>
      <c r="N82" s="88"/>
      <c r="O82" s="88"/>
      <c r="P82" s="89"/>
      <c r="Q82" s="89"/>
      <c r="U82">
        <f>30-6+30+30</f>
        <v>84</v>
      </c>
      <c r="V82" s="135" t="s">
        <v>233</v>
      </c>
    </row>
    <row r="83" spans="4:22" x14ac:dyDescent="0.3">
      <c r="E83" s="331" t="s">
        <v>188</v>
      </c>
      <c r="F83" s="331"/>
      <c r="G83" s="331"/>
      <c r="H83" s="84"/>
      <c r="I83" s="85"/>
      <c r="J83" s="85"/>
      <c r="K83" s="88"/>
      <c r="L83" s="331" t="s">
        <v>189</v>
      </c>
      <c r="M83" s="331"/>
      <c r="N83" s="331"/>
      <c r="O83" s="331"/>
      <c r="P83" s="331"/>
      <c r="Q83" s="331"/>
    </row>
    <row r="84" spans="4:22" x14ac:dyDescent="0.3">
      <c r="T84">
        <f>622/24</f>
        <v>25.916666666666668</v>
      </c>
      <c r="U84" s="134">
        <f>T84*4.5</f>
        <v>116.625</v>
      </c>
    </row>
    <row r="85" spans="4:22" x14ac:dyDescent="0.3">
      <c r="U85" s="134">
        <f>T84*4</f>
        <v>103.66666666666667</v>
      </c>
    </row>
    <row r="86" spans="4:22" x14ac:dyDescent="0.3">
      <c r="U86" s="134">
        <f>T84*3.5</f>
        <v>90.708333333333343</v>
      </c>
    </row>
    <row r="87" spans="4:22" x14ac:dyDescent="0.3">
      <c r="D87" s="335" t="s">
        <v>203</v>
      </c>
      <c r="E87" s="335"/>
      <c r="F87" s="335"/>
      <c r="G87" s="335"/>
      <c r="H87" s="335"/>
      <c r="I87" s="335"/>
      <c r="J87" s="335"/>
      <c r="K87" s="335"/>
    </row>
    <row r="88" spans="4:22" x14ac:dyDescent="0.3">
      <c r="D88" s="335"/>
      <c r="E88" s="335"/>
      <c r="F88" s="335"/>
      <c r="G88" s="335"/>
      <c r="H88" s="335"/>
      <c r="I88" s="335"/>
      <c r="J88" s="335"/>
      <c r="K88" s="335"/>
      <c r="Q88">
        <v>10</v>
      </c>
      <c r="T88" s="128">
        <f>2.33*V80</f>
        <v>195.72</v>
      </c>
      <c r="V88" s="123" t="s">
        <v>234</v>
      </c>
    </row>
    <row r="89" spans="4:22" x14ac:dyDescent="0.3">
      <c r="D89" s="335"/>
      <c r="E89" s="335"/>
      <c r="F89" s="335"/>
      <c r="G89" s="335"/>
      <c r="H89" s="335"/>
      <c r="I89" s="335"/>
      <c r="J89" s="335"/>
      <c r="K89" s="335"/>
      <c r="T89" s="128">
        <f>2.33*V81</f>
        <v>151.45000000000002</v>
      </c>
    </row>
    <row r="90" spans="4:22" x14ac:dyDescent="0.3">
      <c r="D90" s="335"/>
      <c r="E90" s="335"/>
      <c r="F90" s="335"/>
      <c r="G90" s="335"/>
      <c r="H90" s="335"/>
      <c r="I90" s="335"/>
      <c r="J90" s="335"/>
      <c r="K90" s="335"/>
      <c r="T90" s="128">
        <f>2.33*V82</f>
        <v>116.5</v>
      </c>
    </row>
    <row r="91" spans="4:22" x14ac:dyDescent="0.3">
      <c r="D91" s="335"/>
      <c r="E91" s="335"/>
      <c r="F91" s="335"/>
      <c r="G91" s="335"/>
      <c r="H91" s="335"/>
      <c r="I91" s="335"/>
      <c r="J91" s="335"/>
      <c r="K91" s="335"/>
    </row>
    <row r="92" spans="4:22" x14ac:dyDescent="0.3">
      <c r="D92" s="335"/>
      <c r="E92" s="335"/>
      <c r="F92" s="335"/>
      <c r="G92" s="335"/>
      <c r="H92" s="335"/>
      <c r="I92" s="335"/>
      <c r="J92" s="335"/>
      <c r="K92" s="335"/>
    </row>
    <row r="93" spans="4:22" x14ac:dyDescent="0.3">
      <c r="D93" s="335"/>
      <c r="E93" s="335"/>
      <c r="F93" s="335"/>
      <c r="G93" s="335"/>
      <c r="H93" s="335"/>
      <c r="I93" s="335"/>
      <c r="J93" s="335"/>
      <c r="K93" s="335"/>
    </row>
    <row r="94" spans="4:22" x14ac:dyDescent="0.3">
      <c r="D94" s="335"/>
      <c r="E94" s="335"/>
      <c r="F94" s="335"/>
      <c r="G94" s="335"/>
      <c r="H94" s="335"/>
      <c r="I94" s="335"/>
      <c r="J94" s="335"/>
      <c r="K94" s="335"/>
    </row>
  </sheetData>
  <mergeCells count="34">
    <mergeCell ref="D87:K94"/>
    <mergeCell ref="A77:E77"/>
    <mergeCell ref="E80:G80"/>
    <mergeCell ref="L80:Q80"/>
    <mergeCell ref="E83:G83"/>
    <mergeCell ref="L83:Q83"/>
    <mergeCell ref="L42:Q42"/>
    <mergeCell ref="A22:U26"/>
    <mergeCell ref="E65:G65"/>
    <mergeCell ref="L65:Q65"/>
    <mergeCell ref="L68:Q68"/>
    <mergeCell ref="A64:E64"/>
    <mergeCell ref="A14:E14"/>
    <mergeCell ref="E16:G16"/>
    <mergeCell ref="L16:Q16"/>
    <mergeCell ref="L19:Q19"/>
    <mergeCell ref="E39:G39"/>
    <mergeCell ref="L39:Q39"/>
    <mergeCell ref="A1:U5"/>
    <mergeCell ref="A51:U55"/>
    <mergeCell ref="A72:V72"/>
    <mergeCell ref="L69:Q69"/>
    <mergeCell ref="E69:H69"/>
    <mergeCell ref="E68:H68"/>
    <mergeCell ref="E42:H42"/>
    <mergeCell ref="E43:H43"/>
    <mergeCell ref="L43:Q43"/>
    <mergeCell ref="E19:H19"/>
    <mergeCell ref="E20:H20"/>
    <mergeCell ref="L20:Q20"/>
    <mergeCell ref="A6:U6"/>
    <mergeCell ref="A27:U27"/>
    <mergeCell ref="A56:U56"/>
    <mergeCell ref="A36:E36"/>
  </mergeCells>
  <pageMargins left="0.7" right="0.7" top="0.75" bottom="0.75" header="0.3" footer="0.3"/>
  <pageSetup scale="5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E444"/>
  <sheetViews>
    <sheetView topLeftCell="A405" zoomScale="90" zoomScaleNormal="90" workbookViewId="0">
      <selection activeCell="E422" sqref="E422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6.10937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31</v>
      </c>
      <c r="C9" s="3"/>
      <c r="D9" s="12"/>
    </row>
    <row r="10" spans="1:4" x14ac:dyDescent="0.3">
      <c r="A10" s="11" t="s">
        <v>2</v>
      </c>
      <c r="B10" s="10" t="s">
        <v>33</v>
      </c>
      <c r="C10" s="4"/>
      <c r="D10" s="13"/>
    </row>
    <row r="11" spans="1:4" x14ac:dyDescent="0.3">
      <c r="A11" s="11" t="s">
        <v>3</v>
      </c>
      <c r="B11" s="3" t="s">
        <v>17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5" x14ac:dyDescent="0.3">
      <c r="A17" s="26" t="s">
        <v>16</v>
      </c>
      <c r="B17" s="27"/>
      <c r="C17" s="28">
        <v>536</v>
      </c>
      <c r="D17" s="29"/>
    </row>
    <row r="18" spans="1:5" ht="24" x14ac:dyDescent="0.3">
      <c r="A18" s="26" t="s">
        <v>104</v>
      </c>
      <c r="B18" s="27"/>
      <c r="C18" s="28"/>
      <c r="D18" s="29"/>
    </row>
    <row r="19" spans="1:5" x14ac:dyDescent="0.3">
      <c r="A19" s="26" t="s">
        <v>8</v>
      </c>
      <c r="B19" s="27"/>
      <c r="C19" s="28"/>
      <c r="D19" s="29"/>
    </row>
    <row r="20" spans="1:5" x14ac:dyDescent="0.3">
      <c r="A20" s="26" t="s">
        <v>9</v>
      </c>
      <c r="B20" s="27"/>
      <c r="C20" s="28"/>
      <c r="D20" s="29"/>
    </row>
    <row r="21" spans="1:5" x14ac:dyDescent="0.3">
      <c r="A21" s="26"/>
      <c r="B21" s="27" t="s">
        <v>10</v>
      </c>
      <c r="C21" s="28"/>
      <c r="D21" s="29">
        <f>C17*11.45%</f>
        <v>61.371999999999993</v>
      </c>
    </row>
    <row r="22" spans="1:5" x14ac:dyDescent="0.3">
      <c r="A22" s="26"/>
      <c r="B22" s="27" t="s">
        <v>11</v>
      </c>
      <c r="C22" s="28"/>
      <c r="D22" s="29"/>
    </row>
    <row r="23" spans="1:5" x14ac:dyDescent="0.3">
      <c r="A23" s="26"/>
      <c r="B23" s="27" t="s">
        <v>55</v>
      </c>
      <c r="C23" s="28"/>
      <c r="D23" s="29"/>
      <c r="E23" s="57"/>
    </row>
    <row r="24" spans="1:5" x14ac:dyDescent="0.3">
      <c r="A24" s="26"/>
      <c r="B24" s="27" t="s">
        <v>18</v>
      </c>
      <c r="C24" s="28"/>
      <c r="D24" s="29">
        <v>242.25</v>
      </c>
    </row>
    <row r="25" spans="1:5" x14ac:dyDescent="0.3">
      <c r="A25" s="26"/>
      <c r="B25" s="27"/>
      <c r="C25" s="28"/>
      <c r="D25" s="29"/>
    </row>
    <row r="26" spans="1:5" x14ac:dyDescent="0.3">
      <c r="A26" s="21"/>
      <c r="B26" s="8"/>
      <c r="C26" s="1"/>
      <c r="D26" s="20"/>
    </row>
    <row r="27" spans="1:5" x14ac:dyDescent="0.3">
      <c r="A27" s="43"/>
      <c r="B27" s="44" t="s">
        <v>12</v>
      </c>
      <c r="C27" s="46">
        <f>SUM(C17:C26)</f>
        <v>536</v>
      </c>
      <c r="D27" s="50">
        <f>SUM(D17:D26)</f>
        <v>303.62200000000001</v>
      </c>
    </row>
    <row r="28" spans="1:5" x14ac:dyDescent="0.3">
      <c r="A28" s="21"/>
      <c r="B28" s="3"/>
      <c r="C28" s="3"/>
      <c r="D28" s="22"/>
    </row>
    <row r="29" spans="1:5" ht="28.2" x14ac:dyDescent="0.3">
      <c r="A29" s="21"/>
      <c r="B29" s="45"/>
      <c r="C29" s="47" t="s">
        <v>13</v>
      </c>
      <c r="D29" s="51">
        <f>+C27-D27</f>
        <v>232.37799999999999</v>
      </c>
    </row>
    <row r="30" spans="1:5" x14ac:dyDescent="0.3">
      <c r="A30" s="21"/>
      <c r="B30" s="3"/>
      <c r="C30" s="3"/>
      <c r="D30" s="22"/>
    </row>
    <row r="31" spans="1:5" x14ac:dyDescent="0.3">
      <c r="A31" s="23"/>
      <c r="B31" s="4" t="s">
        <v>14</v>
      </c>
      <c r="C31" s="2"/>
      <c r="D31" s="24"/>
    </row>
    <row r="32" spans="1:5" ht="15" thickBot="1" x14ac:dyDescent="0.35">
      <c r="A32" s="23"/>
      <c r="B32" s="9"/>
      <c r="C32" s="9"/>
      <c r="D32" s="24"/>
    </row>
    <row r="33" spans="1:4" x14ac:dyDescent="0.3">
      <c r="A33" s="300" t="s">
        <v>28</v>
      </c>
      <c r="B33" s="300" t="s">
        <v>93</v>
      </c>
      <c r="C33" s="302" t="s">
        <v>30</v>
      </c>
      <c r="D33" s="303"/>
    </row>
    <row r="34" spans="1:4" ht="15" thickBot="1" x14ac:dyDescent="0.35">
      <c r="A34" s="301"/>
      <c r="B34" s="301"/>
      <c r="C34" s="304"/>
      <c r="D34" s="305"/>
    </row>
    <row r="35" spans="1:4" x14ac:dyDescent="0.3">
      <c r="A35" s="37"/>
      <c r="B35" s="34"/>
      <c r="C35" s="32"/>
      <c r="D35" s="2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8" t="s">
        <v>20</v>
      </c>
      <c r="B45" s="35" t="s">
        <v>21</v>
      </c>
      <c r="C45" s="290" t="s">
        <v>34</v>
      </c>
      <c r="D45" s="291"/>
    </row>
    <row r="46" spans="1:4" ht="15" thickBot="1" x14ac:dyDescent="0.35">
      <c r="A46" s="36" t="s">
        <v>22</v>
      </c>
      <c r="B46" s="33" t="s">
        <v>23</v>
      </c>
      <c r="C46" s="292" t="s">
        <v>35</v>
      </c>
      <c r="D46" s="306"/>
    </row>
    <row r="49" spans="1:4" ht="15" thickBot="1" x14ac:dyDescent="0.35"/>
    <row r="50" spans="1:4" ht="25.2" x14ac:dyDescent="0.3">
      <c r="A50" s="294"/>
      <c r="B50" s="295"/>
      <c r="C50" s="295"/>
      <c r="D50" s="296"/>
    </row>
    <row r="51" spans="1:4" x14ac:dyDescent="0.3">
      <c r="A51" s="31"/>
      <c r="B51" s="48"/>
      <c r="C51" s="2"/>
      <c r="D51" s="30"/>
    </row>
    <row r="52" spans="1:4" x14ac:dyDescent="0.3">
      <c r="A52" s="31"/>
      <c r="B52" s="49"/>
      <c r="C52" s="2"/>
      <c r="D52" s="30"/>
    </row>
    <row r="53" spans="1:4" x14ac:dyDescent="0.3">
      <c r="A53" s="31"/>
      <c r="B53" s="49"/>
      <c r="C53" s="2"/>
      <c r="D53" s="30"/>
    </row>
    <row r="54" spans="1:4" ht="15" thickBot="1" x14ac:dyDescent="0.35">
      <c r="A54" s="31"/>
      <c r="B54" s="2"/>
      <c r="C54" s="2"/>
      <c r="D54" s="30"/>
    </row>
    <row r="55" spans="1:4" ht="25.8" thickBot="1" x14ac:dyDescent="0.35">
      <c r="A55" s="297" t="s">
        <v>0</v>
      </c>
      <c r="B55" s="298"/>
      <c r="C55" s="298"/>
      <c r="D55" s="299"/>
    </row>
    <row r="56" spans="1:4" ht="25.2" x14ac:dyDescent="0.3">
      <c r="A56" s="52"/>
      <c r="B56" s="53"/>
      <c r="C56" s="53"/>
      <c r="D56" s="54"/>
    </row>
    <row r="57" spans="1:4" x14ac:dyDescent="0.3">
      <c r="A57" s="11" t="s">
        <v>1</v>
      </c>
      <c r="B57" s="3" t="s">
        <v>31</v>
      </c>
      <c r="C57" s="3"/>
      <c r="D57" s="12"/>
    </row>
    <row r="58" spans="1:4" x14ac:dyDescent="0.3">
      <c r="A58" s="11" t="s">
        <v>2</v>
      </c>
      <c r="B58" s="10" t="s">
        <v>33</v>
      </c>
      <c r="C58" s="4"/>
      <c r="D58" s="13"/>
    </row>
    <row r="59" spans="1:4" x14ac:dyDescent="0.3">
      <c r="A59" s="11" t="s">
        <v>3</v>
      </c>
      <c r="B59" s="3" t="s">
        <v>17</v>
      </c>
      <c r="C59" s="4"/>
      <c r="D59" s="14"/>
    </row>
    <row r="60" spans="1:4" x14ac:dyDescent="0.3">
      <c r="A60" s="11" t="s">
        <v>26</v>
      </c>
      <c r="B60" s="3" t="s">
        <v>112</v>
      </c>
      <c r="C60" s="4"/>
      <c r="D60" s="15"/>
    </row>
    <row r="61" spans="1:4" x14ac:dyDescent="0.3">
      <c r="A61" s="11" t="s">
        <v>99</v>
      </c>
      <c r="B61" s="55">
        <v>2022</v>
      </c>
      <c r="C61" s="4"/>
      <c r="D61" s="15"/>
    </row>
    <row r="62" spans="1:4" x14ac:dyDescent="0.3">
      <c r="A62" s="16"/>
      <c r="B62" s="5"/>
      <c r="C62" s="5"/>
      <c r="D62" s="17"/>
    </row>
    <row r="63" spans="1:4" x14ac:dyDescent="0.3">
      <c r="A63" s="39" t="s">
        <v>94</v>
      </c>
      <c r="B63" s="40"/>
      <c r="C63" s="41" t="s">
        <v>5</v>
      </c>
      <c r="D63" s="42" t="s">
        <v>6</v>
      </c>
    </row>
    <row r="64" spans="1:4" x14ac:dyDescent="0.3">
      <c r="A64" s="18"/>
      <c r="B64" s="6"/>
      <c r="C64" s="7"/>
      <c r="D64" s="19"/>
    </row>
    <row r="65" spans="1:4" x14ac:dyDescent="0.3">
      <c r="A65" s="26" t="s">
        <v>16</v>
      </c>
      <c r="B65" s="27"/>
      <c r="C65" s="28">
        <v>536</v>
      </c>
      <c r="D65" s="29"/>
    </row>
    <row r="66" spans="1:4" ht="24" x14ac:dyDescent="0.3">
      <c r="A66" s="26" t="s">
        <v>104</v>
      </c>
      <c r="B66" s="27"/>
      <c r="C66" s="28"/>
      <c r="D66" s="29"/>
    </row>
    <row r="67" spans="1:4" x14ac:dyDescent="0.3">
      <c r="A67" s="26" t="s">
        <v>8</v>
      </c>
      <c r="B67" s="27"/>
      <c r="C67" s="28"/>
      <c r="D67" s="29"/>
    </row>
    <row r="68" spans="1:4" x14ac:dyDescent="0.3">
      <c r="A68" s="26" t="s">
        <v>9</v>
      </c>
      <c r="B68" s="27"/>
      <c r="C68" s="28"/>
      <c r="D68" s="29"/>
    </row>
    <row r="69" spans="1:4" x14ac:dyDescent="0.3">
      <c r="A69" s="26"/>
      <c r="B69" s="27" t="s">
        <v>10</v>
      </c>
      <c r="C69" s="28"/>
      <c r="D69" s="29">
        <f>C65*11.45%</f>
        <v>61.371999999999993</v>
      </c>
    </row>
    <row r="70" spans="1:4" x14ac:dyDescent="0.3">
      <c r="A70" s="26"/>
      <c r="B70" s="27" t="s">
        <v>11</v>
      </c>
      <c r="C70" s="28"/>
      <c r="D70" s="29"/>
    </row>
    <row r="71" spans="1:4" x14ac:dyDescent="0.3">
      <c r="A71" s="26"/>
      <c r="B71" s="27" t="s">
        <v>55</v>
      </c>
      <c r="C71" s="28"/>
      <c r="D71" s="29"/>
    </row>
    <row r="72" spans="1:4" x14ac:dyDescent="0.3">
      <c r="A72" s="26"/>
      <c r="B72" s="27" t="s">
        <v>18</v>
      </c>
      <c r="C72" s="28"/>
      <c r="D72" s="29">
        <v>120</v>
      </c>
    </row>
    <row r="73" spans="1:4" x14ac:dyDescent="0.3">
      <c r="A73" s="26"/>
      <c r="B73" s="27"/>
      <c r="C73" s="28"/>
      <c r="D73" s="29"/>
    </row>
    <row r="74" spans="1:4" x14ac:dyDescent="0.3">
      <c r="A74" s="21"/>
      <c r="B74" s="8"/>
      <c r="C74" s="1"/>
      <c r="D74" s="20"/>
    </row>
    <row r="75" spans="1:4" x14ac:dyDescent="0.3">
      <c r="A75" s="43"/>
      <c r="B75" s="44" t="s">
        <v>12</v>
      </c>
      <c r="C75" s="46">
        <f>SUM(C65:C74)</f>
        <v>536</v>
      </c>
      <c r="D75" s="50">
        <f>SUM(D65:D74)</f>
        <v>181.37199999999999</v>
      </c>
    </row>
    <row r="76" spans="1:4" x14ac:dyDescent="0.3">
      <c r="A76" s="21"/>
      <c r="B76" s="3"/>
      <c r="C76" s="3"/>
      <c r="D76" s="22"/>
    </row>
    <row r="77" spans="1:4" ht="28.2" x14ac:dyDescent="0.3">
      <c r="A77" s="21"/>
      <c r="B77" s="45"/>
      <c r="C77" s="47" t="s">
        <v>13</v>
      </c>
      <c r="D77" s="51">
        <f>+C75-D75</f>
        <v>354.62800000000004</v>
      </c>
    </row>
    <row r="78" spans="1:4" x14ac:dyDescent="0.3">
      <c r="A78" s="21"/>
      <c r="B78" s="3"/>
      <c r="C78" s="3"/>
      <c r="D78" s="22"/>
    </row>
    <row r="79" spans="1:4" x14ac:dyDescent="0.3">
      <c r="A79" s="23"/>
      <c r="B79" s="4" t="s">
        <v>14</v>
      </c>
      <c r="C79" s="2"/>
      <c r="D79" s="24"/>
    </row>
    <row r="80" spans="1:4" ht="15" thickBot="1" x14ac:dyDescent="0.35">
      <c r="A80" s="23"/>
      <c r="B80" s="9"/>
      <c r="C80" s="9"/>
      <c r="D80" s="24"/>
    </row>
    <row r="81" spans="1:4" x14ac:dyDescent="0.3">
      <c r="A81" s="300" t="s">
        <v>28</v>
      </c>
      <c r="B81" s="300" t="s">
        <v>93</v>
      </c>
      <c r="C81" s="302" t="s">
        <v>30</v>
      </c>
      <c r="D81" s="303"/>
    </row>
    <row r="82" spans="1:4" ht="15" thickBot="1" x14ac:dyDescent="0.35">
      <c r="A82" s="301"/>
      <c r="B82" s="301"/>
      <c r="C82" s="304"/>
      <c r="D82" s="305"/>
    </row>
    <row r="83" spans="1:4" x14ac:dyDescent="0.3">
      <c r="A83" s="37"/>
      <c r="B83" s="34"/>
      <c r="C83" s="32"/>
      <c r="D83" s="25"/>
    </row>
    <row r="84" spans="1:4" x14ac:dyDescent="0.3">
      <c r="A84" s="37"/>
      <c r="B84" s="34"/>
      <c r="C84" s="32"/>
      <c r="D84" s="25"/>
    </row>
    <row r="85" spans="1:4" x14ac:dyDescent="0.3">
      <c r="A85" s="37"/>
      <c r="B85" s="34"/>
      <c r="C85" s="32"/>
      <c r="D85" s="25"/>
    </row>
    <row r="86" spans="1:4" x14ac:dyDescent="0.3">
      <c r="A86" s="37"/>
      <c r="B86" s="34"/>
      <c r="C86" s="32"/>
      <c r="D86" s="25"/>
    </row>
    <row r="87" spans="1:4" x14ac:dyDescent="0.3">
      <c r="A87" s="37"/>
      <c r="B87" s="34"/>
      <c r="C87" s="32"/>
      <c r="D87" s="2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8" t="s">
        <v>20</v>
      </c>
      <c r="B93" s="35" t="s">
        <v>21</v>
      </c>
      <c r="C93" s="290" t="s">
        <v>34</v>
      </c>
      <c r="D93" s="291"/>
    </row>
    <row r="94" spans="1:4" ht="15" thickBot="1" x14ac:dyDescent="0.35">
      <c r="A94" s="36" t="s">
        <v>22</v>
      </c>
      <c r="B94" s="33" t="s">
        <v>23</v>
      </c>
      <c r="C94" s="292" t="s">
        <v>35</v>
      </c>
      <c r="D94" s="306"/>
    </row>
    <row r="99" spans="1:4" ht="15" thickBot="1" x14ac:dyDescent="0.35"/>
    <row r="100" spans="1:4" ht="25.2" x14ac:dyDescent="0.3">
      <c r="A100" s="294"/>
      <c r="B100" s="295"/>
      <c r="C100" s="295"/>
      <c r="D100" s="296"/>
    </row>
    <row r="101" spans="1:4" x14ac:dyDescent="0.3">
      <c r="A101" s="31"/>
      <c r="B101" s="48"/>
      <c r="C101" s="2"/>
      <c r="D101" s="30"/>
    </row>
    <row r="102" spans="1:4" x14ac:dyDescent="0.3">
      <c r="A102" s="31"/>
      <c r="B102" s="49"/>
      <c r="C102" s="2"/>
      <c r="D102" s="30"/>
    </row>
    <row r="103" spans="1:4" x14ac:dyDescent="0.3">
      <c r="A103" s="31"/>
      <c r="B103" s="49"/>
      <c r="C103" s="2"/>
      <c r="D103" s="30"/>
    </row>
    <row r="104" spans="1:4" ht="15" thickBot="1" x14ac:dyDescent="0.35">
      <c r="A104" s="31"/>
      <c r="B104" s="2"/>
      <c r="C104" s="2"/>
      <c r="D104" s="30"/>
    </row>
    <row r="105" spans="1:4" ht="25.8" thickBot="1" x14ac:dyDescent="0.35">
      <c r="A105" s="297" t="s">
        <v>0</v>
      </c>
      <c r="B105" s="298"/>
      <c r="C105" s="298"/>
      <c r="D105" s="299"/>
    </row>
    <row r="106" spans="1:4" ht="25.2" x14ac:dyDescent="0.3">
      <c r="A106" s="52"/>
      <c r="B106" s="53"/>
      <c r="C106" s="53"/>
      <c r="D106" s="54"/>
    </row>
    <row r="107" spans="1:4" x14ac:dyDescent="0.3">
      <c r="A107" s="11" t="s">
        <v>1</v>
      </c>
      <c r="B107" s="3" t="s">
        <v>31</v>
      </c>
      <c r="C107" s="3"/>
      <c r="D107" s="12"/>
    </row>
    <row r="108" spans="1:4" x14ac:dyDescent="0.3">
      <c r="A108" s="11" t="s">
        <v>2</v>
      </c>
      <c r="B108" s="10" t="s">
        <v>33</v>
      </c>
      <c r="C108" s="4"/>
      <c r="D108" s="13"/>
    </row>
    <row r="109" spans="1:4" x14ac:dyDescent="0.3">
      <c r="A109" s="11" t="s">
        <v>3</v>
      </c>
      <c r="B109" s="3" t="s">
        <v>17</v>
      </c>
      <c r="C109" s="4"/>
      <c r="D109" s="14"/>
    </row>
    <row r="110" spans="1:4" x14ac:dyDescent="0.3">
      <c r="A110" s="11" t="s">
        <v>26</v>
      </c>
      <c r="B110" s="3" t="s">
        <v>113</v>
      </c>
      <c r="C110" s="4"/>
      <c r="D110" s="15"/>
    </row>
    <row r="111" spans="1:4" x14ac:dyDescent="0.3">
      <c r="A111" s="11" t="s">
        <v>99</v>
      </c>
      <c r="B111" s="55">
        <v>2022</v>
      </c>
      <c r="C111" s="4"/>
      <c r="D111" s="15"/>
    </row>
    <row r="112" spans="1:4" x14ac:dyDescent="0.3">
      <c r="A112" s="16"/>
      <c r="B112" s="5"/>
      <c r="C112" s="5"/>
      <c r="D112" s="17"/>
    </row>
    <row r="113" spans="1:4" x14ac:dyDescent="0.3">
      <c r="A113" s="39" t="s">
        <v>94</v>
      </c>
      <c r="B113" s="40"/>
      <c r="C113" s="41" t="s">
        <v>5</v>
      </c>
      <c r="D113" s="42" t="s">
        <v>6</v>
      </c>
    </row>
    <row r="114" spans="1:4" x14ac:dyDescent="0.3">
      <c r="A114" s="18"/>
      <c r="B114" s="6"/>
      <c r="C114" s="7"/>
      <c r="D114" s="19"/>
    </row>
    <row r="115" spans="1:4" x14ac:dyDescent="0.3">
      <c r="A115" s="26" t="s">
        <v>16</v>
      </c>
      <c r="B115" s="27"/>
      <c r="C115" s="28">
        <v>536</v>
      </c>
      <c r="D115" s="29"/>
    </row>
    <row r="116" spans="1:4" ht="24" x14ac:dyDescent="0.3">
      <c r="A116" s="26" t="s">
        <v>104</v>
      </c>
      <c r="B116" s="27"/>
      <c r="C116" s="28"/>
      <c r="D116" s="29"/>
    </row>
    <row r="117" spans="1:4" x14ac:dyDescent="0.3">
      <c r="A117" s="26" t="s">
        <v>8</v>
      </c>
      <c r="B117" s="27"/>
      <c r="C117" s="28"/>
      <c r="D117" s="29"/>
    </row>
    <row r="118" spans="1:4" x14ac:dyDescent="0.3">
      <c r="A118" s="26" t="s">
        <v>9</v>
      </c>
      <c r="B118" s="27"/>
      <c r="C118" s="28"/>
      <c r="D118" s="29"/>
    </row>
    <row r="119" spans="1:4" x14ac:dyDescent="0.3">
      <c r="A119" s="26"/>
      <c r="B119" s="27" t="s">
        <v>10</v>
      </c>
      <c r="C119" s="28"/>
      <c r="D119" s="29">
        <f>C115*11.45%</f>
        <v>61.371999999999993</v>
      </c>
    </row>
    <row r="120" spans="1:4" x14ac:dyDescent="0.3">
      <c r="A120" s="26"/>
      <c r="B120" s="27" t="s">
        <v>11</v>
      </c>
      <c r="C120" s="28"/>
      <c r="D120" s="29"/>
    </row>
    <row r="121" spans="1:4" x14ac:dyDescent="0.3">
      <c r="A121" s="26"/>
      <c r="B121" s="27" t="s">
        <v>55</v>
      </c>
      <c r="C121" s="28"/>
      <c r="D121" s="29"/>
    </row>
    <row r="122" spans="1:4" x14ac:dyDescent="0.3">
      <c r="A122" s="26"/>
      <c r="B122" s="27" t="s">
        <v>18</v>
      </c>
      <c r="C122" s="28"/>
      <c r="D122" s="29">
        <v>145</v>
      </c>
    </row>
    <row r="123" spans="1:4" x14ac:dyDescent="0.3">
      <c r="A123" s="26"/>
      <c r="B123" s="27"/>
      <c r="C123" s="28"/>
      <c r="D123" s="29"/>
    </row>
    <row r="124" spans="1:4" x14ac:dyDescent="0.3">
      <c r="A124" s="21"/>
      <c r="B124" s="8"/>
      <c r="C124" s="1"/>
      <c r="D124" s="20"/>
    </row>
    <row r="125" spans="1:4" x14ac:dyDescent="0.3">
      <c r="A125" s="43"/>
      <c r="B125" s="44" t="s">
        <v>12</v>
      </c>
      <c r="C125" s="46">
        <f>SUM(C115:C124)</f>
        <v>536</v>
      </c>
      <c r="D125" s="50">
        <f>SUM(D115:D124)</f>
        <v>206.37199999999999</v>
      </c>
    </row>
    <row r="126" spans="1:4" x14ac:dyDescent="0.3">
      <c r="A126" s="21"/>
      <c r="B126" s="3"/>
      <c r="C126" s="3"/>
      <c r="D126" s="22"/>
    </row>
    <row r="127" spans="1:4" ht="28.2" x14ac:dyDescent="0.3">
      <c r="A127" s="21"/>
      <c r="B127" s="45"/>
      <c r="C127" s="47" t="s">
        <v>13</v>
      </c>
      <c r="D127" s="51">
        <f>+C125-D125</f>
        <v>329.62800000000004</v>
      </c>
    </row>
    <row r="128" spans="1:4" x14ac:dyDescent="0.3">
      <c r="A128" s="21"/>
      <c r="B128" s="3"/>
      <c r="C128" s="3"/>
      <c r="D128" s="22"/>
    </row>
    <row r="129" spans="1:4" x14ac:dyDescent="0.3">
      <c r="A129" s="23"/>
      <c r="B129" s="4" t="s">
        <v>14</v>
      </c>
      <c r="C129" s="2"/>
      <c r="D129" s="24"/>
    </row>
    <row r="130" spans="1:4" ht="15" thickBot="1" x14ac:dyDescent="0.35">
      <c r="A130" s="23"/>
      <c r="B130" s="9"/>
      <c r="C130" s="9"/>
      <c r="D130" s="24"/>
    </row>
    <row r="131" spans="1:4" x14ac:dyDescent="0.3">
      <c r="A131" s="300" t="s">
        <v>28</v>
      </c>
      <c r="B131" s="300" t="s">
        <v>93</v>
      </c>
      <c r="C131" s="302" t="s">
        <v>30</v>
      </c>
      <c r="D131" s="303"/>
    </row>
    <row r="132" spans="1:4" ht="15" thickBot="1" x14ac:dyDescent="0.35">
      <c r="A132" s="301"/>
      <c r="B132" s="301"/>
      <c r="C132" s="304"/>
      <c r="D132" s="305"/>
    </row>
    <row r="133" spans="1:4" x14ac:dyDescent="0.3">
      <c r="A133" s="37"/>
      <c r="B133" s="34"/>
      <c r="C133" s="32"/>
      <c r="D133" s="25"/>
    </row>
    <row r="134" spans="1:4" x14ac:dyDescent="0.3">
      <c r="A134" s="37"/>
      <c r="B134" s="34"/>
      <c r="C134" s="32"/>
      <c r="D134" s="25"/>
    </row>
    <row r="135" spans="1:4" x14ac:dyDescent="0.3">
      <c r="A135" s="37"/>
      <c r="B135" s="34"/>
      <c r="C135" s="32"/>
      <c r="D135" s="25"/>
    </row>
    <row r="136" spans="1:4" x14ac:dyDescent="0.3">
      <c r="A136" s="37"/>
      <c r="B136" s="34"/>
      <c r="C136" s="32"/>
      <c r="D136" s="25"/>
    </row>
    <row r="137" spans="1:4" x14ac:dyDescent="0.3">
      <c r="A137" s="37"/>
      <c r="B137" s="34"/>
      <c r="C137" s="32"/>
      <c r="D137" s="25"/>
    </row>
    <row r="138" spans="1:4" x14ac:dyDescent="0.3">
      <c r="A138" s="37"/>
      <c r="B138" s="34"/>
      <c r="C138" s="32"/>
      <c r="D138" s="2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8" t="s">
        <v>20</v>
      </c>
      <c r="B143" s="35" t="s">
        <v>21</v>
      </c>
      <c r="C143" s="290" t="s">
        <v>34</v>
      </c>
      <c r="D143" s="291"/>
    </row>
    <row r="144" spans="1:4" ht="15" thickBot="1" x14ac:dyDescent="0.35">
      <c r="A144" s="36" t="s">
        <v>22</v>
      </c>
      <c r="B144" s="33" t="s">
        <v>23</v>
      </c>
      <c r="C144" s="292" t="s">
        <v>35</v>
      </c>
      <c r="D144" s="306"/>
    </row>
    <row r="149" spans="1:4" ht="15" thickBot="1" x14ac:dyDescent="0.35"/>
    <row r="150" spans="1:4" ht="25.2" x14ac:dyDescent="0.3">
      <c r="A150" s="294"/>
      <c r="B150" s="295"/>
      <c r="C150" s="295"/>
      <c r="D150" s="296"/>
    </row>
    <row r="151" spans="1:4" x14ac:dyDescent="0.3">
      <c r="A151" s="31"/>
      <c r="B151" s="48"/>
      <c r="C151" s="2"/>
      <c r="D151" s="30"/>
    </row>
    <row r="152" spans="1:4" x14ac:dyDescent="0.3">
      <c r="A152" s="31"/>
      <c r="B152" s="49"/>
      <c r="C152" s="2"/>
      <c r="D152" s="30"/>
    </row>
    <row r="153" spans="1:4" x14ac:dyDescent="0.3">
      <c r="A153" s="31"/>
      <c r="B153" s="49"/>
      <c r="C153" s="2"/>
      <c r="D153" s="30"/>
    </row>
    <row r="154" spans="1:4" ht="15" thickBot="1" x14ac:dyDescent="0.35">
      <c r="A154" s="31"/>
      <c r="B154" s="2"/>
      <c r="C154" s="2"/>
      <c r="D154" s="30"/>
    </row>
    <row r="155" spans="1:4" ht="25.8" thickBot="1" x14ac:dyDescent="0.35">
      <c r="A155" s="297" t="s">
        <v>0</v>
      </c>
      <c r="B155" s="298"/>
      <c r="C155" s="298"/>
      <c r="D155" s="299"/>
    </row>
    <row r="156" spans="1:4" ht="25.2" x14ac:dyDescent="0.3">
      <c r="A156" s="52"/>
      <c r="B156" s="53"/>
      <c r="C156" s="53"/>
      <c r="D156" s="54"/>
    </row>
    <row r="157" spans="1:4" x14ac:dyDescent="0.3">
      <c r="A157" s="11" t="s">
        <v>1</v>
      </c>
      <c r="B157" s="3" t="s">
        <v>31</v>
      </c>
      <c r="C157" s="3"/>
      <c r="D157" s="12"/>
    </row>
    <row r="158" spans="1:4" x14ac:dyDescent="0.3">
      <c r="A158" s="11" t="s">
        <v>2</v>
      </c>
      <c r="B158" s="10" t="s">
        <v>33</v>
      </c>
      <c r="C158" s="4"/>
      <c r="D158" s="13"/>
    </row>
    <row r="159" spans="1:4" x14ac:dyDescent="0.3">
      <c r="A159" s="11" t="s">
        <v>3</v>
      </c>
      <c r="B159" s="3" t="s">
        <v>17</v>
      </c>
      <c r="C159" s="4"/>
      <c r="D159" s="14"/>
    </row>
    <row r="160" spans="1:4" x14ac:dyDescent="0.3">
      <c r="A160" s="11" t="s">
        <v>26</v>
      </c>
      <c r="B160" s="3" t="s">
        <v>117</v>
      </c>
      <c r="C160" s="4"/>
      <c r="D160" s="15"/>
    </row>
    <row r="161" spans="1:4" x14ac:dyDescent="0.3">
      <c r="A161" s="11" t="s">
        <v>99</v>
      </c>
      <c r="B161" s="55">
        <v>2022</v>
      </c>
      <c r="C161" s="4"/>
      <c r="D161" s="15"/>
    </row>
    <row r="162" spans="1:4" x14ac:dyDescent="0.3">
      <c r="A162" s="16"/>
      <c r="B162" s="5"/>
      <c r="C162" s="5"/>
      <c r="D162" s="17"/>
    </row>
    <row r="163" spans="1:4" x14ac:dyDescent="0.3">
      <c r="A163" s="39" t="s">
        <v>94</v>
      </c>
      <c r="B163" s="40"/>
      <c r="C163" s="41" t="s">
        <v>5</v>
      </c>
      <c r="D163" s="42" t="s">
        <v>6</v>
      </c>
    </row>
    <row r="164" spans="1:4" x14ac:dyDescent="0.3">
      <c r="A164" s="18"/>
      <c r="B164" s="6"/>
      <c r="C164" s="7"/>
      <c r="D164" s="19"/>
    </row>
    <row r="165" spans="1:4" x14ac:dyDescent="0.3">
      <c r="A165" s="26" t="s">
        <v>16</v>
      </c>
      <c r="B165" s="27"/>
      <c r="C165" s="28">
        <v>536</v>
      </c>
      <c r="D165" s="29"/>
    </row>
    <row r="166" spans="1:4" ht="24" x14ac:dyDescent="0.3">
      <c r="A166" s="26" t="s">
        <v>104</v>
      </c>
      <c r="B166" s="27"/>
      <c r="C166" s="28"/>
      <c r="D166" s="29"/>
    </row>
    <row r="167" spans="1:4" x14ac:dyDescent="0.3">
      <c r="A167" s="26" t="s">
        <v>8</v>
      </c>
      <c r="B167" s="27"/>
      <c r="C167" s="28"/>
      <c r="D167" s="29"/>
    </row>
    <row r="168" spans="1:4" x14ac:dyDescent="0.3">
      <c r="A168" s="26" t="s">
        <v>9</v>
      </c>
      <c r="B168" s="27"/>
      <c r="C168" s="28"/>
      <c r="D168" s="29"/>
    </row>
    <row r="169" spans="1:4" x14ac:dyDescent="0.3">
      <c r="A169" s="26"/>
      <c r="B169" s="27" t="s">
        <v>10</v>
      </c>
      <c r="C169" s="28"/>
      <c r="D169" s="29">
        <f>C165*11.45%</f>
        <v>61.371999999999993</v>
      </c>
    </row>
    <row r="170" spans="1:4" x14ac:dyDescent="0.3">
      <c r="A170" s="26"/>
      <c r="B170" s="27" t="s">
        <v>11</v>
      </c>
      <c r="C170" s="28"/>
      <c r="D170" s="29"/>
    </row>
    <row r="171" spans="1:4" x14ac:dyDescent="0.3">
      <c r="A171" s="26"/>
      <c r="B171" s="27" t="s">
        <v>55</v>
      </c>
      <c r="C171" s="28"/>
      <c r="D171" s="29"/>
    </row>
    <row r="172" spans="1:4" x14ac:dyDescent="0.3">
      <c r="A172" s="26"/>
      <c r="B172" s="27" t="s">
        <v>18</v>
      </c>
      <c r="C172" s="28"/>
      <c r="D172" s="29">
        <v>120</v>
      </c>
    </row>
    <row r="173" spans="1:4" x14ac:dyDescent="0.3">
      <c r="A173" s="26"/>
      <c r="B173" s="27"/>
      <c r="C173" s="28"/>
      <c r="D173" s="29"/>
    </row>
    <row r="174" spans="1:4" x14ac:dyDescent="0.3">
      <c r="A174" s="21"/>
      <c r="B174" s="8"/>
      <c r="C174" s="1"/>
      <c r="D174" s="20"/>
    </row>
    <row r="175" spans="1:4" x14ac:dyDescent="0.3">
      <c r="A175" s="43"/>
      <c r="B175" s="44" t="s">
        <v>12</v>
      </c>
      <c r="C175" s="46">
        <f>SUM(C165:C174)</f>
        <v>536</v>
      </c>
      <c r="D175" s="50">
        <f>SUM(D165:D174)</f>
        <v>181.37199999999999</v>
      </c>
    </row>
    <row r="176" spans="1:4" x14ac:dyDescent="0.3">
      <c r="A176" s="21"/>
      <c r="B176" s="3"/>
      <c r="C176" s="3"/>
      <c r="D176" s="22"/>
    </row>
    <row r="177" spans="1:4" ht="28.2" x14ac:dyDescent="0.3">
      <c r="A177" s="21"/>
      <c r="B177" s="45"/>
      <c r="C177" s="47" t="s">
        <v>13</v>
      </c>
      <c r="D177" s="51">
        <f>+C175-D175</f>
        <v>354.62800000000004</v>
      </c>
    </row>
    <row r="178" spans="1:4" x14ac:dyDescent="0.3">
      <c r="A178" s="21"/>
      <c r="B178" s="3"/>
      <c r="C178" s="3"/>
      <c r="D178" s="22"/>
    </row>
    <row r="179" spans="1:4" x14ac:dyDescent="0.3">
      <c r="A179" s="23"/>
      <c r="B179" s="4" t="s">
        <v>14</v>
      </c>
      <c r="C179" s="2"/>
      <c r="D179" s="24"/>
    </row>
    <row r="180" spans="1:4" ht="15" thickBot="1" x14ac:dyDescent="0.35">
      <c r="A180" s="23"/>
      <c r="B180" s="9"/>
      <c r="C180" s="9"/>
      <c r="D180" s="24"/>
    </row>
    <row r="181" spans="1:4" x14ac:dyDescent="0.3">
      <c r="A181" s="300" t="s">
        <v>28</v>
      </c>
      <c r="B181" s="300" t="s">
        <v>93</v>
      </c>
      <c r="C181" s="302" t="s">
        <v>30</v>
      </c>
      <c r="D181" s="303"/>
    </row>
    <row r="182" spans="1:4" ht="15" thickBot="1" x14ac:dyDescent="0.35">
      <c r="A182" s="301"/>
      <c r="B182" s="301"/>
      <c r="C182" s="304"/>
      <c r="D182" s="305"/>
    </row>
    <row r="183" spans="1:4" x14ac:dyDescent="0.3">
      <c r="A183" s="37"/>
      <c r="B183" s="34"/>
      <c r="C183" s="32"/>
      <c r="D183" s="25"/>
    </row>
    <row r="184" spans="1:4" x14ac:dyDescent="0.3">
      <c r="A184" s="37"/>
      <c r="B184" s="34"/>
      <c r="C184" s="32"/>
      <c r="D184" s="25"/>
    </row>
    <row r="185" spans="1:4" x14ac:dyDescent="0.3">
      <c r="A185" s="37"/>
      <c r="B185" s="34"/>
      <c r="C185" s="32"/>
      <c r="D185" s="25"/>
    </row>
    <row r="186" spans="1:4" x14ac:dyDescent="0.3">
      <c r="A186" s="37"/>
      <c r="B186" s="34"/>
      <c r="C186" s="32"/>
      <c r="D186" s="25"/>
    </row>
    <row r="187" spans="1:4" x14ac:dyDescent="0.3">
      <c r="A187" s="37"/>
      <c r="B187" s="34"/>
      <c r="C187" s="32"/>
      <c r="D187" s="25"/>
    </row>
    <row r="188" spans="1:4" x14ac:dyDescent="0.3">
      <c r="A188" s="37"/>
      <c r="B188" s="34"/>
      <c r="C188" s="32"/>
      <c r="D188" s="2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8" t="s">
        <v>20</v>
      </c>
      <c r="B193" s="35" t="s">
        <v>21</v>
      </c>
      <c r="C193" s="290" t="s">
        <v>34</v>
      </c>
      <c r="D193" s="291"/>
    </row>
    <row r="194" spans="1:4" ht="15" thickBot="1" x14ac:dyDescent="0.35">
      <c r="A194" s="36" t="s">
        <v>22</v>
      </c>
      <c r="B194" s="33" t="s">
        <v>23</v>
      </c>
      <c r="C194" s="292" t="s">
        <v>35</v>
      </c>
      <c r="D194" s="306"/>
    </row>
    <row r="199" spans="1:4" ht="15" thickBot="1" x14ac:dyDescent="0.35"/>
    <row r="200" spans="1:4" ht="25.2" x14ac:dyDescent="0.3">
      <c r="A200" s="294"/>
      <c r="B200" s="295"/>
      <c r="C200" s="295"/>
      <c r="D200" s="296"/>
    </row>
    <row r="201" spans="1:4" x14ac:dyDescent="0.3">
      <c r="A201" s="31"/>
      <c r="B201" s="48"/>
      <c r="C201" s="2"/>
      <c r="D201" s="30"/>
    </row>
    <row r="202" spans="1:4" x14ac:dyDescent="0.3">
      <c r="A202" s="31"/>
      <c r="B202" s="49"/>
      <c r="C202" s="2"/>
      <c r="D202" s="30"/>
    </row>
    <row r="203" spans="1:4" x14ac:dyDescent="0.3">
      <c r="A203" s="31"/>
      <c r="B203" s="49"/>
      <c r="C203" s="2"/>
      <c r="D203" s="30"/>
    </row>
    <row r="204" spans="1:4" ht="15" thickBot="1" x14ac:dyDescent="0.35">
      <c r="A204" s="31"/>
      <c r="B204" s="2"/>
      <c r="C204" s="2"/>
      <c r="D204" s="30"/>
    </row>
    <row r="205" spans="1:4" ht="25.8" thickBot="1" x14ac:dyDescent="0.35">
      <c r="A205" s="297" t="s">
        <v>0</v>
      </c>
      <c r="B205" s="298"/>
      <c r="C205" s="298"/>
      <c r="D205" s="299"/>
    </row>
    <row r="206" spans="1:4" ht="25.2" x14ac:dyDescent="0.3">
      <c r="A206" s="52"/>
      <c r="B206" s="53"/>
      <c r="C206" s="53"/>
      <c r="D206" s="54"/>
    </row>
    <row r="207" spans="1:4" x14ac:dyDescent="0.3">
      <c r="A207" s="11" t="s">
        <v>1</v>
      </c>
      <c r="B207" s="3" t="s">
        <v>31</v>
      </c>
      <c r="C207" s="3"/>
      <c r="D207" s="12"/>
    </row>
    <row r="208" spans="1:4" x14ac:dyDescent="0.3">
      <c r="A208" s="11" t="s">
        <v>2</v>
      </c>
      <c r="B208" s="10" t="s">
        <v>33</v>
      </c>
      <c r="C208" s="4"/>
      <c r="D208" s="13"/>
    </row>
    <row r="209" spans="1:4" x14ac:dyDescent="0.3">
      <c r="A209" s="11" t="s">
        <v>3</v>
      </c>
      <c r="B209" s="3" t="s">
        <v>17</v>
      </c>
      <c r="C209" s="4"/>
      <c r="D209" s="14"/>
    </row>
    <row r="210" spans="1:4" x14ac:dyDescent="0.3">
      <c r="A210" s="11" t="s">
        <v>26</v>
      </c>
      <c r="B210" s="3" t="s">
        <v>119</v>
      </c>
      <c r="C210" s="4"/>
      <c r="D210" s="15"/>
    </row>
    <row r="211" spans="1:4" x14ac:dyDescent="0.3">
      <c r="A211" s="11" t="s">
        <v>99</v>
      </c>
      <c r="B211" s="55">
        <v>2022</v>
      </c>
      <c r="C211" s="4"/>
      <c r="D211" s="15"/>
    </row>
    <row r="212" spans="1:4" x14ac:dyDescent="0.3">
      <c r="A212" s="16"/>
      <c r="B212" s="5"/>
      <c r="C212" s="5"/>
      <c r="D212" s="17"/>
    </row>
    <row r="213" spans="1:4" x14ac:dyDescent="0.3">
      <c r="A213" s="39" t="s">
        <v>94</v>
      </c>
      <c r="B213" s="40"/>
      <c r="C213" s="41" t="s">
        <v>5</v>
      </c>
      <c r="D213" s="42" t="s">
        <v>6</v>
      </c>
    </row>
    <row r="214" spans="1:4" x14ac:dyDescent="0.3">
      <c r="A214" s="18"/>
      <c r="B214" s="6"/>
      <c r="C214" s="7"/>
      <c r="D214" s="19"/>
    </row>
    <row r="215" spans="1:4" x14ac:dyDescent="0.3">
      <c r="A215" s="26" t="s">
        <v>16</v>
      </c>
      <c r="B215" s="27"/>
      <c r="C215" s="28">
        <v>536</v>
      </c>
      <c r="D215" s="29"/>
    </row>
    <row r="216" spans="1:4" ht="24" x14ac:dyDescent="0.3">
      <c r="A216" s="26" t="s">
        <v>104</v>
      </c>
      <c r="B216" s="27"/>
      <c r="C216" s="28"/>
      <c r="D216" s="29"/>
    </row>
    <row r="217" spans="1:4" x14ac:dyDescent="0.3">
      <c r="A217" s="26" t="s">
        <v>8</v>
      </c>
      <c r="B217" s="27"/>
      <c r="C217" s="28"/>
      <c r="D217" s="29"/>
    </row>
    <row r="218" spans="1:4" x14ac:dyDescent="0.3">
      <c r="A218" s="26" t="s">
        <v>9</v>
      </c>
      <c r="B218" s="27"/>
      <c r="C218" s="28"/>
      <c r="D218" s="29"/>
    </row>
    <row r="219" spans="1:4" x14ac:dyDescent="0.3">
      <c r="A219" s="26"/>
      <c r="B219" s="27" t="s">
        <v>10</v>
      </c>
      <c r="C219" s="28"/>
      <c r="D219" s="29">
        <f>C215*11.45%</f>
        <v>61.371999999999993</v>
      </c>
    </row>
    <row r="220" spans="1:4" x14ac:dyDescent="0.3">
      <c r="A220" s="26"/>
      <c r="B220" s="27" t="s">
        <v>11</v>
      </c>
      <c r="C220" s="28"/>
      <c r="D220" s="29"/>
    </row>
    <row r="221" spans="1:4" x14ac:dyDescent="0.3">
      <c r="A221" s="26"/>
      <c r="B221" s="27" t="s">
        <v>55</v>
      </c>
      <c r="C221" s="28"/>
      <c r="D221" s="29"/>
    </row>
    <row r="222" spans="1:4" x14ac:dyDescent="0.3">
      <c r="A222" s="26"/>
      <c r="B222" s="27" t="s">
        <v>18</v>
      </c>
      <c r="C222" s="28"/>
      <c r="D222" s="29">
        <v>276</v>
      </c>
    </row>
    <row r="223" spans="1:4" x14ac:dyDescent="0.3">
      <c r="A223" s="26"/>
      <c r="B223" s="27"/>
      <c r="C223" s="28"/>
      <c r="D223" s="29"/>
    </row>
    <row r="224" spans="1:4" x14ac:dyDescent="0.3">
      <c r="A224" s="21"/>
      <c r="B224" s="8"/>
      <c r="C224" s="1"/>
      <c r="D224" s="20"/>
    </row>
    <row r="225" spans="1:4" x14ac:dyDescent="0.3">
      <c r="A225" s="43"/>
      <c r="B225" s="44" t="s">
        <v>12</v>
      </c>
      <c r="C225" s="46">
        <f>SUM(C215:C224)</f>
        <v>536</v>
      </c>
      <c r="D225" s="50">
        <f>SUM(D215:D224)</f>
        <v>337.37200000000001</v>
      </c>
    </row>
    <row r="226" spans="1:4" x14ac:dyDescent="0.3">
      <c r="A226" s="21"/>
      <c r="B226" s="3"/>
      <c r="C226" s="3"/>
      <c r="D226" s="22"/>
    </row>
    <row r="227" spans="1:4" ht="28.2" x14ac:dyDescent="0.3">
      <c r="A227" s="21"/>
      <c r="B227" s="45"/>
      <c r="C227" s="47" t="s">
        <v>13</v>
      </c>
      <c r="D227" s="51">
        <f>+C225-D225</f>
        <v>198.62799999999999</v>
      </c>
    </row>
    <row r="228" spans="1:4" x14ac:dyDescent="0.3">
      <c r="A228" s="21"/>
      <c r="B228" s="3"/>
      <c r="C228" s="3"/>
      <c r="D228" s="22"/>
    </row>
    <row r="229" spans="1:4" x14ac:dyDescent="0.3">
      <c r="A229" s="23"/>
      <c r="B229" s="4" t="s">
        <v>14</v>
      </c>
      <c r="C229" s="2"/>
      <c r="D229" s="24"/>
    </row>
    <row r="230" spans="1:4" ht="15" thickBot="1" x14ac:dyDescent="0.35">
      <c r="A230" s="23"/>
      <c r="B230" s="9"/>
      <c r="C230" s="9"/>
      <c r="D230" s="24"/>
    </row>
    <row r="231" spans="1:4" x14ac:dyDescent="0.3">
      <c r="A231" s="300" t="s">
        <v>28</v>
      </c>
      <c r="B231" s="300" t="s">
        <v>93</v>
      </c>
      <c r="C231" s="302" t="s">
        <v>30</v>
      </c>
      <c r="D231" s="303"/>
    </row>
    <row r="232" spans="1:4" ht="15" thickBot="1" x14ac:dyDescent="0.35">
      <c r="A232" s="301"/>
      <c r="B232" s="301"/>
      <c r="C232" s="304"/>
      <c r="D232" s="305"/>
    </row>
    <row r="233" spans="1:4" x14ac:dyDescent="0.3">
      <c r="A233" s="37"/>
      <c r="B233" s="34"/>
      <c r="C233" s="32"/>
      <c r="D233" s="25"/>
    </row>
    <row r="234" spans="1:4" x14ac:dyDescent="0.3">
      <c r="A234" s="37"/>
      <c r="B234" s="34"/>
      <c r="C234" s="32"/>
      <c r="D234" s="25"/>
    </row>
    <row r="235" spans="1:4" x14ac:dyDescent="0.3">
      <c r="A235" s="37"/>
      <c r="B235" s="34"/>
      <c r="C235" s="32"/>
      <c r="D235" s="25"/>
    </row>
    <row r="236" spans="1:4" x14ac:dyDescent="0.3">
      <c r="A236" s="37"/>
      <c r="B236" s="34"/>
      <c r="C236" s="32"/>
      <c r="D236" s="25"/>
    </row>
    <row r="237" spans="1:4" x14ac:dyDescent="0.3">
      <c r="A237" s="37"/>
      <c r="B237" s="34"/>
      <c r="C237" s="32"/>
      <c r="D237" s="25"/>
    </row>
    <row r="238" spans="1:4" x14ac:dyDescent="0.3">
      <c r="A238" s="37"/>
      <c r="B238" s="34"/>
      <c r="C238" s="32"/>
      <c r="D238" s="2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8" t="s">
        <v>20</v>
      </c>
      <c r="B243" s="35" t="s">
        <v>21</v>
      </c>
      <c r="C243" s="290" t="s">
        <v>34</v>
      </c>
      <c r="D243" s="291"/>
    </row>
    <row r="244" spans="1:4" ht="15" thickBot="1" x14ac:dyDescent="0.35">
      <c r="A244" s="36" t="s">
        <v>22</v>
      </c>
      <c r="B244" s="33" t="s">
        <v>23</v>
      </c>
      <c r="C244" s="292" t="s">
        <v>35</v>
      </c>
      <c r="D244" s="306"/>
    </row>
    <row r="249" spans="1:4" ht="15" thickBot="1" x14ac:dyDescent="0.35"/>
    <row r="250" spans="1:4" ht="25.2" x14ac:dyDescent="0.3">
      <c r="A250" s="294"/>
      <c r="B250" s="295"/>
      <c r="C250" s="295"/>
      <c r="D250" s="296"/>
    </row>
    <row r="251" spans="1:4" x14ac:dyDescent="0.3">
      <c r="A251" s="31"/>
      <c r="B251" s="48"/>
      <c r="C251" s="2"/>
      <c r="D251" s="30"/>
    </row>
    <row r="252" spans="1:4" x14ac:dyDescent="0.3">
      <c r="A252" s="31"/>
      <c r="B252" s="49"/>
      <c r="C252" s="2"/>
      <c r="D252" s="30"/>
    </row>
    <row r="253" spans="1:4" x14ac:dyDescent="0.3">
      <c r="A253" s="31"/>
      <c r="B253" s="49"/>
      <c r="C253" s="2"/>
      <c r="D253" s="30"/>
    </row>
    <row r="254" spans="1:4" ht="15" thickBot="1" x14ac:dyDescent="0.35">
      <c r="A254" s="31"/>
      <c r="B254" s="2"/>
      <c r="C254" s="2"/>
      <c r="D254" s="30"/>
    </row>
    <row r="255" spans="1:4" ht="25.8" thickBot="1" x14ac:dyDescent="0.35">
      <c r="A255" s="297" t="s">
        <v>0</v>
      </c>
      <c r="B255" s="298"/>
      <c r="C255" s="298"/>
      <c r="D255" s="299"/>
    </row>
    <row r="256" spans="1:4" ht="25.2" x14ac:dyDescent="0.3">
      <c r="A256" s="52"/>
      <c r="B256" s="53"/>
      <c r="C256" s="53"/>
      <c r="D256" s="54"/>
    </row>
    <row r="257" spans="1:4" x14ac:dyDescent="0.3">
      <c r="A257" s="11" t="s">
        <v>1</v>
      </c>
      <c r="B257" s="3" t="s">
        <v>31</v>
      </c>
      <c r="C257" s="3"/>
      <c r="D257" s="12"/>
    </row>
    <row r="258" spans="1:4" x14ac:dyDescent="0.3">
      <c r="A258" s="11" t="s">
        <v>2</v>
      </c>
      <c r="B258" s="10" t="s">
        <v>33</v>
      </c>
      <c r="C258" s="4"/>
      <c r="D258" s="13"/>
    </row>
    <row r="259" spans="1:4" x14ac:dyDescent="0.3">
      <c r="A259" s="11" t="s">
        <v>3</v>
      </c>
      <c r="B259" s="3" t="s">
        <v>17</v>
      </c>
      <c r="C259" s="4"/>
      <c r="D259" s="14"/>
    </row>
    <row r="260" spans="1:4" x14ac:dyDescent="0.3">
      <c r="A260" s="11" t="s">
        <v>26</v>
      </c>
      <c r="B260" s="3" t="s">
        <v>120</v>
      </c>
      <c r="C260" s="4"/>
      <c r="D260" s="15"/>
    </row>
    <row r="261" spans="1:4" x14ac:dyDescent="0.3">
      <c r="A261" s="11" t="s">
        <v>99</v>
      </c>
      <c r="B261" s="55">
        <v>2022</v>
      </c>
      <c r="C261" s="4"/>
      <c r="D261" s="15"/>
    </row>
    <row r="262" spans="1:4" x14ac:dyDescent="0.3">
      <c r="A262" s="16"/>
      <c r="B262" s="5"/>
      <c r="C262" s="5"/>
      <c r="D262" s="17"/>
    </row>
    <row r="263" spans="1:4" x14ac:dyDescent="0.3">
      <c r="A263" s="39" t="s">
        <v>94</v>
      </c>
      <c r="B263" s="40"/>
      <c r="C263" s="41" t="s">
        <v>5</v>
      </c>
      <c r="D263" s="42" t="s">
        <v>6</v>
      </c>
    </row>
    <row r="264" spans="1:4" x14ac:dyDescent="0.3">
      <c r="A264" s="18"/>
      <c r="B264" s="6"/>
      <c r="C264" s="7"/>
      <c r="D264" s="19"/>
    </row>
    <row r="265" spans="1:4" x14ac:dyDescent="0.3">
      <c r="A265" s="26" t="s">
        <v>16</v>
      </c>
      <c r="B265" s="27"/>
      <c r="C265" s="28">
        <v>536</v>
      </c>
      <c r="D265" s="29"/>
    </row>
    <row r="266" spans="1:4" ht="24" x14ac:dyDescent="0.3">
      <c r="A266" s="26" t="s">
        <v>104</v>
      </c>
      <c r="B266" s="27"/>
      <c r="C266" s="28"/>
      <c r="D266" s="29"/>
    </row>
    <row r="267" spans="1:4" x14ac:dyDescent="0.3">
      <c r="A267" s="26" t="s">
        <v>8</v>
      </c>
      <c r="B267" s="27"/>
      <c r="C267" s="28"/>
      <c r="D267" s="29"/>
    </row>
    <row r="268" spans="1:4" x14ac:dyDescent="0.3">
      <c r="A268" s="26" t="s">
        <v>9</v>
      </c>
      <c r="B268" s="27"/>
      <c r="C268" s="28"/>
      <c r="D268" s="29"/>
    </row>
    <row r="269" spans="1:4" x14ac:dyDescent="0.3">
      <c r="A269" s="26"/>
      <c r="B269" s="27" t="s">
        <v>10</v>
      </c>
      <c r="C269" s="28"/>
      <c r="D269" s="29">
        <f>C265*11.45%</f>
        <v>61.371999999999993</v>
      </c>
    </row>
    <row r="270" spans="1:4" x14ac:dyDescent="0.3">
      <c r="A270" s="26"/>
      <c r="B270" s="27" t="s">
        <v>11</v>
      </c>
      <c r="C270" s="28"/>
      <c r="D270" s="29"/>
    </row>
    <row r="271" spans="1:4" x14ac:dyDescent="0.3">
      <c r="A271" s="26"/>
      <c r="B271" s="27" t="s">
        <v>55</v>
      </c>
      <c r="C271" s="28"/>
      <c r="D271" s="29"/>
    </row>
    <row r="272" spans="1:4" x14ac:dyDescent="0.3">
      <c r="A272" s="26"/>
      <c r="B272" s="27" t="s">
        <v>18</v>
      </c>
      <c r="C272" s="28"/>
      <c r="D272" s="29">
        <v>200</v>
      </c>
    </row>
    <row r="273" spans="1:4" x14ac:dyDescent="0.3">
      <c r="A273" s="26"/>
      <c r="B273" s="27"/>
      <c r="C273" s="28"/>
      <c r="D273" s="29"/>
    </row>
    <row r="274" spans="1:4" x14ac:dyDescent="0.3">
      <c r="A274" s="21"/>
      <c r="B274" s="8"/>
      <c r="C274" s="1"/>
      <c r="D274" s="20"/>
    </row>
    <row r="275" spans="1:4" x14ac:dyDescent="0.3">
      <c r="A275" s="43"/>
      <c r="B275" s="44" t="s">
        <v>12</v>
      </c>
      <c r="C275" s="46">
        <f>SUM(C265:C274)</f>
        <v>536</v>
      </c>
      <c r="D275" s="50">
        <f>SUM(D265:D274)</f>
        <v>261.37200000000001</v>
      </c>
    </row>
    <row r="276" spans="1:4" x14ac:dyDescent="0.3">
      <c r="A276" s="21"/>
      <c r="B276" s="3"/>
      <c r="C276" s="3"/>
      <c r="D276" s="22"/>
    </row>
    <row r="277" spans="1:4" ht="28.2" x14ac:dyDescent="0.3">
      <c r="A277" s="21"/>
      <c r="B277" s="45"/>
      <c r="C277" s="47" t="s">
        <v>13</v>
      </c>
      <c r="D277" s="51">
        <f>+C275-D275</f>
        <v>274.62799999999999</v>
      </c>
    </row>
    <row r="278" spans="1:4" x14ac:dyDescent="0.3">
      <c r="A278" s="21"/>
      <c r="B278" s="3"/>
      <c r="C278" s="3"/>
      <c r="D278" s="22"/>
    </row>
    <row r="279" spans="1:4" x14ac:dyDescent="0.3">
      <c r="A279" s="23"/>
      <c r="B279" s="4" t="s">
        <v>14</v>
      </c>
      <c r="C279" s="2"/>
      <c r="D279" s="24"/>
    </row>
    <row r="280" spans="1:4" ht="15" thickBot="1" x14ac:dyDescent="0.35">
      <c r="A280" s="23"/>
      <c r="B280" s="9"/>
      <c r="C280" s="9"/>
      <c r="D280" s="24"/>
    </row>
    <row r="281" spans="1:4" x14ac:dyDescent="0.3">
      <c r="A281" s="300" t="s">
        <v>28</v>
      </c>
      <c r="B281" s="300" t="s">
        <v>93</v>
      </c>
      <c r="C281" s="302" t="s">
        <v>30</v>
      </c>
      <c r="D281" s="303"/>
    </row>
    <row r="282" spans="1:4" ht="15" thickBot="1" x14ac:dyDescent="0.35">
      <c r="A282" s="301"/>
      <c r="B282" s="301"/>
      <c r="C282" s="304"/>
      <c r="D282" s="305"/>
    </row>
    <row r="283" spans="1:4" x14ac:dyDescent="0.3">
      <c r="A283" s="37"/>
      <c r="B283" s="34"/>
      <c r="C283" s="32"/>
      <c r="D283" s="25"/>
    </row>
    <row r="284" spans="1:4" x14ac:dyDescent="0.3">
      <c r="A284" s="37"/>
      <c r="B284" s="34"/>
      <c r="C284" s="32"/>
      <c r="D284" s="25"/>
    </row>
    <row r="285" spans="1:4" x14ac:dyDescent="0.3">
      <c r="A285" s="37"/>
      <c r="B285" s="34"/>
      <c r="C285" s="32"/>
      <c r="D285" s="25"/>
    </row>
    <row r="286" spans="1:4" x14ac:dyDescent="0.3">
      <c r="A286" s="37"/>
      <c r="B286" s="34"/>
      <c r="C286" s="32"/>
      <c r="D286" s="25"/>
    </row>
    <row r="287" spans="1:4" x14ac:dyDescent="0.3">
      <c r="A287" s="37"/>
      <c r="B287" s="34"/>
      <c r="C287" s="32"/>
      <c r="D287" s="25"/>
    </row>
    <row r="288" spans="1:4" x14ac:dyDescent="0.3">
      <c r="A288" s="37"/>
      <c r="B288" s="34"/>
      <c r="C288" s="32"/>
      <c r="D288" s="2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8" t="s">
        <v>20</v>
      </c>
      <c r="B293" s="35" t="s">
        <v>21</v>
      </c>
      <c r="C293" s="290" t="s">
        <v>34</v>
      </c>
      <c r="D293" s="291"/>
    </row>
    <row r="294" spans="1:4" ht="15" thickBot="1" x14ac:dyDescent="0.35">
      <c r="A294" s="36" t="s">
        <v>22</v>
      </c>
      <c r="B294" s="33" t="s">
        <v>23</v>
      </c>
      <c r="C294" s="292" t="s">
        <v>35</v>
      </c>
      <c r="D294" s="306"/>
    </row>
    <row r="299" spans="1:4" ht="15" thickBot="1" x14ac:dyDescent="0.35"/>
    <row r="300" spans="1:4" ht="25.2" x14ac:dyDescent="0.3">
      <c r="A300" s="294"/>
      <c r="B300" s="295"/>
      <c r="C300" s="295"/>
      <c r="D300" s="296"/>
    </row>
    <row r="301" spans="1:4" x14ac:dyDescent="0.3">
      <c r="A301" s="31"/>
      <c r="B301" s="48"/>
      <c r="C301" s="2"/>
      <c r="D301" s="30"/>
    </row>
    <row r="302" spans="1:4" x14ac:dyDescent="0.3">
      <c r="A302" s="31"/>
      <c r="B302" s="49"/>
      <c r="C302" s="2"/>
      <c r="D302" s="30"/>
    </row>
    <row r="303" spans="1:4" x14ac:dyDescent="0.3">
      <c r="A303" s="31"/>
      <c r="B303" s="49"/>
      <c r="C303" s="2"/>
      <c r="D303" s="30"/>
    </row>
    <row r="304" spans="1:4" ht="15" thickBot="1" x14ac:dyDescent="0.35">
      <c r="A304" s="31"/>
      <c r="B304" s="2"/>
      <c r="C304" s="2"/>
      <c r="D304" s="30"/>
    </row>
    <row r="305" spans="1:4" ht="25.8" thickBot="1" x14ac:dyDescent="0.35">
      <c r="A305" s="297" t="s">
        <v>0</v>
      </c>
      <c r="B305" s="298"/>
      <c r="C305" s="298"/>
      <c r="D305" s="299"/>
    </row>
    <row r="306" spans="1:4" ht="25.2" x14ac:dyDescent="0.3">
      <c r="A306" s="52"/>
      <c r="B306" s="53"/>
      <c r="C306" s="53"/>
      <c r="D306" s="54"/>
    </row>
    <row r="307" spans="1:4" x14ac:dyDescent="0.3">
      <c r="A307" s="11" t="s">
        <v>1</v>
      </c>
      <c r="B307" s="3" t="s">
        <v>31</v>
      </c>
      <c r="C307" s="3"/>
      <c r="D307" s="12"/>
    </row>
    <row r="308" spans="1:4" x14ac:dyDescent="0.3">
      <c r="A308" s="11" t="s">
        <v>2</v>
      </c>
      <c r="B308" s="10" t="s">
        <v>33</v>
      </c>
      <c r="C308" s="4"/>
      <c r="D308" s="13"/>
    </row>
    <row r="309" spans="1:4" x14ac:dyDescent="0.3">
      <c r="A309" s="11" t="s">
        <v>3</v>
      </c>
      <c r="B309" s="3" t="s">
        <v>17</v>
      </c>
      <c r="C309" s="4"/>
      <c r="D309" s="14"/>
    </row>
    <row r="310" spans="1:4" x14ac:dyDescent="0.3">
      <c r="A310" s="11" t="s">
        <v>26</v>
      </c>
      <c r="B310" s="3" t="s">
        <v>122</v>
      </c>
      <c r="C310" s="4"/>
      <c r="D310" s="15"/>
    </row>
    <row r="311" spans="1:4" x14ac:dyDescent="0.3">
      <c r="A311" s="11" t="s">
        <v>99</v>
      </c>
      <c r="B311" s="55">
        <v>2022</v>
      </c>
      <c r="C311" s="4"/>
      <c r="D311" s="15"/>
    </row>
    <row r="312" spans="1:4" x14ac:dyDescent="0.3">
      <c r="A312" s="16"/>
      <c r="B312" s="5"/>
      <c r="C312" s="5"/>
      <c r="D312" s="17"/>
    </row>
    <row r="313" spans="1:4" x14ac:dyDescent="0.3">
      <c r="A313" s="39" t="s">
        <v>94</v>
      </c>
      <c r="B313" s="40"/>
      <c r="C313" s="41" t="s">
        <v>5</v>
      </c>
      <c r="D313" s="42" t="s">
        <v>6</v>
      </c>
    </row>
    <row r="314" spans="1:4" x14ac:dyDescent="0.3">
      <c r="A314" s="18"/>
      <c r="B314" s="6"/>
      <c r="C314" s="7"/>
      <c r="D314" s="19"/>
    </row>
    <row r="315" spans="1:4" x14ac:dyDescent="0.3">
      <c r="A315" s="26" t="s">
        <v>16</v>
      </c>
      <c r="B315" s="27"/>
      <c r="C315" s="28">
        <v>536</v>
      </c>
      <c r="D315" s="29"/>
    </row>
    <row r="316" spans="1:4" ht="24" x14ac:dyDescent="0.3">
      <c r="A316" s="26" t="s">
        <v>104</v>
      </c>
      <c r="B316" s="27"/>
      <c r="C316" s="28"/>
      <c r="D316" s="29"/>
    </row>
    <row r="317" spans="1:4" x14ac:dyDescent="0.3">
      <c r="A317" s="26" t="s">
        <v>8</v>
      </c>
      <c r="B317" s="27"/>
      <c r="C317" s="28"/>
      <c r="D317" s="29"/>
    </row>
    <row r="318" spans="1:4" x14ac:dyDescent="0.3">
      <c r="A318" s="26" t="s">
        <v>9</v>
      </c>
      <c r="B318" s="27"/>
      <c r="C318" s="28"/>
      <c r="D318" s="29"/>
    </row>
    <row r="319" spans="1:4" x14ac:dyDescent="0.3">
      <c r="A319" s="26"/>
      <c r="B319" s="27" t="s">
        <v>10</v>
      </c>
      <c r="C319" s="28"/>
      <c r="D319" s="29">
        <f>C315*11.45%</f>
        <v>61.371999999999993</v>
      </c>
    </row>
    <row r="320" spans="1:4" x14ac:dyDescent="0.3">
      <c r="A320" s="26"/>
      <c r="B320" s="27" t="s">
        <v>11</v>
      </c>
      <c r="C320" s="28"/>
      <c r="D320" s="29"/>
    </row>
    <row r="321" spans="1:4" x14ac:dyDescent="0.3">
      <c r="A321" s="26"/>
      <c r="B321" s="27" t="s">
        <v>55</v>
      </c>
      <c r="C321" s="28"/>
      <c r="D321" s="29"/>
    </row>
    <row r="322" spans="1:4" x14ac:dyDescent="0.3">
      <c r="A322" s="26"/>
      <c r="B322" s="27" t="s">
        <v>18</v>
      </c>
      <c r="C322" s="28"/>
      <c r="D322" s="29">
        <v>200</v>
      </c>
    </row>
    <row r="323" spans="1:4" x14ac:dyDescent="0.3">
      <c r="A323" s="26"/>
      <c r="B323" s="27"/>
      <c r="C323" s="28"/>
      <c r="D323" s="29"/>
    </row>
    <row r="324" spans="1:4" x14ac:dyDescent="0.3">
      <c r="A324" s="21"/>
      <c r="B324" s="8"/>
      <c r="C324" s="1"/>
      <c r="D324" s="20"/>
    </row>
    <row r="325" spans="1:4" x14ac:dyDescent="0.3">
      <c r="A325" s="43"/>
      <c r="B325" s="44" t="s">
        <v>12</v>
      </c>
      <c r="C325" s="46">
        <f>SUM(C315:C324)</f>
        <v>536</v>
      </c>
      <c r="D325" s="50">
        <f>SUM(D315:D324)</f>
        <v>261.37200000000001</v>
      </c>
    </row>
    <row r="326" spans="1:4" x14ac:dyDescent="0.3">
      <c r="A326" s="21"/>
      <c r="B326" s="3"/>
      <c r="C326" s="3"/>
      <c r="D326" s="22"/>
    </row>
    <row r="327" spans="1:4" ht="28.2" x14ac:dyDescent="0.3">
      <c r="A327" s="21"/>
      <c r="B327" s="45"/>
      <c r="C327" s="47" t="s">
        <v>13</v>
      </c>
      <c r="D327" s="51">
        <f>+C325-D325</f>
        <v>274.62799999999999</v>
      </c>
    </row>
    <row r="328" spans="1:4" x14ac:dyDescent="0.3">
      <c r="A328" s="21"/>
      <c r="B328" s="3"/>
      <c r="C328" s="3"/>
      <c r="D328" s="22"/>
    </row>
    <row r="329" spans="1:4" x14ac:dyDescent="0.3">
      <c r="A329" s="23"/>
      <c r="B329" s="4" t="s">
        <v>14</v>
      </c>
      <c r="C329" s="2"/>
      <c r="D329" s="24"/>
    </row>
    <row r="330" spans="1:4" ht="15" thickBot="1" x14ac:dyDescent="0.35">
      <c r="A330" s="23"/>
      <c r="B330" s="9"/>
      <c r="C330" s="9"/>
      <c r="D330" s="24"/>
    </row>
    <row r="331" spans="1:4" x14ac:dyDescent="0.3">
      <c r="A331" s="300" t="s">
        <v>28</v>
      </c>
      <c r="B331" s="300" t="s">
        <v>93</v>
      </c>
      <c r="C331" s="302" t="s">
        <v>30</v>
      </c>
      <c r="D331" s="303"/>
    </row>
    <row r="332" spans="1:4" ht="15" thickBot="1" x14ac:dyDescent="0.35">
      <c r="A332" s="301"/>
      <c r="B332" s="301"/>
      <c r="C332" s="304"/>
      <c r="D332" s="305"/>
    </row>
    <row r="333" spans="1:4" x14ac:dyDescent="0.3">
      <c r="A333" s="37"/>
      <c r="B333" s="34"/>
      <c r="C333" s="32"/>
      <c r="D333" s="25"/>
    </row>
    <row r="334" spans="1:4" x14ac:dyDescent="0.3">
      <c r="A334" s="37"/>
      <c r="B334" s="34"/>
      <c r="C334" s="32"/>
      <c r="D334" s="25"/>
    </row>
    <row r="335" spans="1:4" x14ac:dyDescent="0.3">
      <c r="A335" s="37"/>
      <c r="B335" s="34"/>
      <c r="C335" s="32"/>
      <c r="D335" s="25"/>
    </row>
    <row r="336" spans="1:4" x14ac:dyDescent="0.3">
      <c r="A336" s="37"/>
      <c r="B336" s="34"/>
      <c r="C336" s="32"/>
      <c r="D336" s="25"/>
    </row>
    <row r="337" spans="1:4" x14ac:dyDescent="0.3">
      <c r="A337" s="37"/>
      <c r="B337" s="34"/>
      <c r="C337" s="32"/>
      <c r="D337" s="25"/>
    </row>
    <row r="338" spans="1:4" x14ac:dyDescent="0.3">
      <c r="A338" s="37"/>
      <c r="B338" s="34"/>
      <c r="C338" s="32"/>
      <c r="D338" s="2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8" t="s">
        <v>20</v>
      </c>
      <c r="B343" s="35" t="s">
        <v>21</v>
      </c>
      <c r="C343" s="290" t="s">
        <v>34</v>
      </c>
      <c r="D343" s="291"/>
    </row>
    <row r="344" spans="1:4" ht="15" thickBot="1" x14ac:dyDescent="0.35">
      <c r="A344" s="36" t="s">
        <v>22</v>
      </c>
      <c r="B344" s="33" t="s">
        <v>23</v>
      </c>
      <c r="C344" s="292" t="s">
        <v>35</v>
      </c>
      <c r="D344" s="306"/>
    </row>
    <row r="349" spans="1:4" ht="15" thickBot="1" x14ac:dyDescent="0.35"/>
    <row r="350" spans="1:4" ht="25.2" x14ac:dyDescent="0.3">
      <c r="A350" s="294"/>
      <c r="B350" s="295"/>
      <c r="C350" s="295"/>
      <c r="D350" s="296"/>
    </row>
    <row r="351" spans="1:4" x14ac:dyDescent="0.3">
      <c r="A351" s="31"/>
      <c r="B351" s="48"/>
      <c r="C351" s="2"/>
      <c r="D351" s="30"/>
    </row>
    <row r="352" spans="1:4" x14ac:dyDescent="0.3">
      <c r="A352" s="31"/>
      <c r="B352" s="49"/>
      <c r="C352" s="2"/>
      <c r="D352" s="30"/>
    </row>
    <row r="353" spans="1:4" x14ac:dyDescent="0.3">
      <c r="A353" s="31"/>
      <c r="B353" s="49"/>
      <c r="C353" s="2"/>
      <c r="D353" s="30"/>
    </row>
    <row r="354" spans="1:4" ht="15" thickBot="1" x14ac:dyDescent="0.35">
      <c r="A354" s="31"/>
      <c r="B354" s="2"/>
      <c r="C354" s="2"/>
      <c r="D354" s="30"/>
    </row>
    <row r="355" spans="1:4" ht="25.8" thickBot="1" x14ac:dyDescent="0.35">
      <c r="A355" s="297" t="s">
        <v>133</v>
      </c>
      <c r="B355" s="298"/>
      <c r="C355" s="298"/>
      <c r="D355" s="299"/>
    </row>
    <row r="356" spans="1:4" ht="25.2" x14ac:dyDescent="0.3">
      <c r="A356" s="52"/>
      <c r="B356" s="53"/>
      <c r="C356" s="53"/>
      <c r="D356" s="54"/>
    </row>
    <row r="357" spans="1:4" x14ac:dyDescent="0.3">
      <c r="A357" s="11" t="s">
        <v>1</v>
      </c>
      <c r="B357" s="3" t="s">
        <v>31</v>
      </c>
      <c r="C357" s="3"/>
      <c r="D357" s="12"/>
    </row>
    <row r="358" spans="1:4" x14ac:dyDescent="0.3">
      <c r="A358" s="11" t="s">
        <v>2</v>
      </c>
      <c r="B358" s="10" t="s">
        <v>33</v>
      </c>
      <c r="C358" s="4"/>
      <c r="D358" s="13"/>
    </row>
    <row r="359" spans="1:4" x14ac:dyDescent="0.3">
      <c r="A359" s="11" t="s">
        <v>3</v>
      </c>
      <c r="B359" s="3" t="s">
        <v>17</v>
      </c>
      <c r="C359" s="4"/>
      <c r="D359" s="14"/>
    </row>
    <row r="360" spans="1:4" x14ac:dyDescent="0.3">
      <c r="A360" s="11" t="s">
        <v>26</v>
      </c>
      <c r="B360" s="3" t="s">
        <v>134</v>
      </c>
      <c r="C360" s="4"/>
      <c r="D360" s="15"/>
    </row>
    <row r="361" spans="1:4" x14ac:dyDescent="0.3">
      <c r="A361" s="11" t="s">
        <v>99</v>
      </c>
      <c r="B361" s="55">
        <v>2022</v>
      </c>
      <c r="C361" s="4"/>
      <c r="D361" s="15"/>
    </row>
    <row r="362" spans="1:4" x14ac:dyDescent="0.3">
      <c r="A362" s="16"/>
      <c r="B362" s="5"/>
      <c r="C362" s="5"/>
      <c r="D362" s="17"/>
    </row>
    <row r="363" spans="1:4" x14ac:dyDescent="0.3">
      <c r="A363" s="39" t="s">
        <v>94</v>
      </c>
      <c r="B363" s="40"/>
      <c r="C363" s="41" t="s">
        <v>5</v>
      </c>
      <c r="D363" s="42" t="s">
        <v>6</v>
      </c>
    </row>
    <row r="364" spans="1:4" x14ac:dyDescent="0.3">
      <c r="A364" s="18"/>
      <c r="B364" s="6"/>
      <c r="C364" s="7"/>
      <c r="D364" s="19"/>
    </row>
    <row r="365" spans="1:4" x14ac:dyDescent="0.3">
      <c r="A365" s="26" t="s">
        <v>16</v>
      </c>
      <c r="B365" s="27"/>
      <c r="C365" s="28"/>
      <c r="D365" s="29"/>
    </row>
    <row r="366" spans="1:4" ht="24" x14ac:dyDescent="0.3">
      <c r="A366" s="26" t="s">
        <v>104</v>
      </c>
      <c r="B366" s="27"/>
      <c r="C366" s="28"/>
      <c r="D366" s="29"/>
    </row>
    <row r="367" spans="1:4" x14ac:dyDescent="0.3">
      <c r="A367" s="26" t="s">
        <v>8</v>
      </c>
      <c r="B367" s="27"/>
      <c r="C367" s="28"/>
      <c r="D367" s="29"/>
    </row>
    <row r="368" spans="1:4" x14ac:dyDescent="0.3">
      <c r="A368" s="26" t="s">
        <v>9</v>
      </c>
      <c r="B368" s="27"/>
      <c r="C368" s="28">
        <f>(425/12)*12</f>
        <v>425</v>
      </c>
      <c r="D368" s="29"/>
    </row>
    <row r="369" spans="1:4" x14ac:dyDescent="0.3">
      <c r="A369" s="26"/>
      <c r="B369" s="27" t="s">
        <v>10</v>
      </c>
      <c r="C369" s="28"/>
      <c r="D369" s="29">
        <f>C365*11.45%</f>
        <v>0</v>
      </c>
    </row>
    <row r="370" spans="1:4" x14ac:dyDescent="0.3">
      <c r="A370" s="26"/>
      <c r="B370" s="27" t="s">
        <v>11</v>
      </c>
      <c r="C370" s="28"/>
      <c r="D370" s="29"/>
    </row>
    <row r="371" spans="1:4" x14ac:dyDescent="0.3">
      <c r="A371" s="26"/>
      <c r="B371" s="27" t="s">
        <v>55</v>
      </c>
      <c r="C371" s="28"/>
      <c r="D371" s="29"/>
    </row>
    <row r="372" spans="1:4" x14ac:dyDescent="0.3">
      <c r="A372" s="26"/>
      <c r="B372" s="27" t="s">
        <v>18</v>
      </c>
      <c r="C372" s="28"/>
      <c r="D372" s="29"/>
    </row>
    <row r="373" spans="1:4" x14ac:dyDescent="0.3">
      <c r="A373" s="26"/>
      <c r="B373" s="27"/>
      <c r="C373" s="28"/>
      <c r="D373" s="29"/>
    </row>
    <row r="374" spans="1:4" x14ac:dyDescent="0.3">
      <c r="A374" s="21"/>
      <c r="B374" s="8"/>
      <c r="C374" s="1"/>
      <c r="D374" s="20"/>
    </row>
    <row r="375" spans="1:4" x14ac:dyDescent="0.3">
      <c r="A375" s="43"/>
      <c r="B375" s="44" t="s">
        <v>12</v>
      </c>
      <c r="C375" s="46">
        <f>SUM(C365:C374)</f>
        <v>425</v>
      </c>
      <c r="D375" s="50">
        <f>SUM(D365:D374)</f>
        <v>0</v>
      </c>
    </row>
    <row r="376" spans="1:4" x14ac:dyDescent="0.3">
      <c r="A376" s="21"/>
      <c r="B376" s="3"/>
      <c r="C376" s="3"/>
      <c r="D376" s="22"/>
    </row>
    <row r="377" spans="1:4" ht="28.2" x14ac:dyDescent="0.3">
      <c r="A377" s="21"/>
      <c r="B377" s="45"/>
      <c r="C377" s="47" t="s">
        <v>13</v>
      </c>
      <c r="D377" s="51">
        <f>+C375-D375</f>
        <v>425</v>
      </c>
    </row>
    <row r="378" spans="1:4" x14ac:dyDescent="0.3">
      <c r="A378" s="21"/>
      <c r="B378" s="3"/>
      <c r="C378" s="3"/>
      <c r="D378" s="22"/>
    </row>
    <row r="379" spans="1:4" x14ac:dyDescent="0.3">
      <c r="A379" s="23"/>
      <c r="B379" s="4" t="s">
        <v>14</v>
      </c>
      <c r="C379" s="2"/>
      <c r="D379" s="24"/>
    </row>
    <row r="380" spans="1:4" ht="15" thickBot="1" x14ac:dyDescent="0.35">
      <c r="A380" s="23"/>
      <c r="B380" s="9"/>
      <c r="C380" s="9"/>
      <c r="D380" s="24"/>
    </row>
    <row r="381" spans="1:4" x14ac:dyDescent="0.3">
      <c r="A381" s="300" t="s">
        <v>28</v>
      </c>
      <c r="B381" s="300" t="s">
        <v>93</v>
      </c>
      <c r="C381" s="302" t="s">
        <v>30</v>
      </c>
      <c r="D381" s="303"/>
    </row>
    <row r="382" spans="1:4" ht="15" thickBot="1" x14ac:dyDescent="0.35">
      <c r="A382" s="301"/>
      <c r="B382" s="301"/>
      <c r="C382" s="304"/>
      <c r="D382" s="305"/>
    </row>
    <row r="383" spans="1:4" x14ac:dyDescent="0.3">
      <c r="A383" s="37"/>
      <c r="B383" s="34"/>
      <c r="C383" s="32"/>
      <c r="D383" s="25"/>
    </row>
    <row r="384" spans="1:4" x14ac:dyDescent="0.3">
      <c r="A384" s="37"/>
      <c r="B384" s="34"/>
      <c r="C384" s="32"/>
      <c r="D384" s="25"/>
    </row>
    <row r="385" spans="1:4" x14ac:dyDescent="0.3">
      <c r="A385" s="37"/>
      <c r="B385" s="34"/>
      <c r="C385" s="32"/>
      <c r="D385" s="25"/>
    </row>
    <row r="386" spans="1:4" x14ac:dyDescent="0.3">
      <c r="A386" s="37"/>
      <c r="B386" s="34"/>
      <c r="C386" s="32"/>
      <c r="D386" s="25"/>
    </row>
    <row r="387" spans="1:4" x14ac:dyDescent="0.3">
      <c r="A387" s="37"/>
      <c r="B387" s="34"/>
      <c r="C387" s="32"/>
      <c r="D387" s="25"/>
    </row>
    <row r="388" spans="1:4" x14ac:dyDescent="0.3">
      <c r="A388" s="37"/>
      <c r="B388" s="34"/>
      <c r="C388" s="32"/>
      <c r="D388" s="2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8" t="s">
        <v>20</v>
      </c>
      <c r="B393" s="35" t="s">
        <v>21</v>
      </c>
      <c r="C393" s="290" t="s">
        <v>34</v>
      </c>
      <c r="D393" s="291"/>
    </row>
    <row r="394" spans="1:4" ht="15" thickBot="1" x14ac:dyDescent="0.35">
      <c r="A394" s="36" t="s">
        <v>22</v>
      </c>
      <c r="B394" s="33" t="s">
        <v>23</v>
      </c>
      <c r="C394" s="292" t="s">
        <v>35</v>
      </c>
      <c r="D394" s="306"/>
    </row>
    <row r="399" spans="1:4" ht="15" thickBot="1" x14ac:dyDescent="0.35"/>
    <row r="400" spans="1:4" ht="25.2" x14ac:dyDescent="0.3">
      <c r="A400" s="294"/>
      <c r="B400" s="295"/>
      <c r="C400" s="295"/>
      <c r="D400" s="296"/>
    </row>
    <row r="401" spans="1:4" x14ac:dyDescent="0.3">
      <c r="A401" s="31"/>
      <c r="B401" s="48"/>
      <c r="C401" s="2"/>
      <c r="D401" s="30"/>
    </row>
    <row r="402" spans="1:4" x14ac:dyDescent="0.3">
      <c r="A402" s="31"/>
      <c r="B402" s="49"/>
      <c r="C402" s="2"/>
      <c r="D402" s="30"/>
    </row>
    <row r="403" spans="1:4" x14ac:dyDescent="0.3">
      <c r="A403" s="31"/>
      <c r="B403" s="49"/>
      <c r="C403" s="2"/>
      <c r="D403" s="30"/>
    </row>
    <row r="404" spans="1:4" ht="15" thickBot="1" x14ac:dyDescent="0.35">
      <c r="A404" s="31"/>
      <c r="B404" s="2"/>
      <c r="C404" s="2"/>
      <c r="D404" s="30"/>
    </row>
    <row r="405" spans="1:4" ht="25.8" thickBot="1" x14ac:dyDescent="0.35">
      <c r="A405" s="297" t="s">
        <v>0</v>
      </c>
      <c r="B405" s="298"/>
      <c r="C405" s="298"/>
      <c r="D405" s="299"/>
    </row>
    <row r="406" spans="1:4" ht="25.2" x14ac:dyDescent="0.3">
      <c r="A406" s="52"/>
      <c r="B406" s="53"/>
      <c r="C406" s="53"/>
      <c r="D406" s="54"/>
    </row>
    <row r="407" spans="1:4" x14ac:dyDescent="0.3">
      <c r="A407" s="11" t="s">
        <v>1</v>
      </c>
      <c r="B407" s="3" t="s">
        <v>31</v>
      </c>
      <c r="C407" s="3"/>
      <c r="D407" s="12"/>
    </row>
    <row r="408" spans="1:4" x14ac:dyDescent="0.3">
      <c r="A408" s="11" t="s">
        <v>2</v>
      </c>
      <c r="B408" s="10" t="s">
        <v>33</v>
      </c>
      <c r="C408" s="4"/>
      <c r="D408" s="13"/>
    </row>
    <row r="409" spans="1:4" x14ac:dyDescent="0.3">
      <c r="A409" s="11" t="s">
        <v>3</v>
      </c>
      <c r="B409" s="3" t="s">
        <v>17</v>
      </c>
      <c r="C409" s="4"/>
      <c r="D409" s="14"/>
    </row>
    <row r="410" spans="1:4" x14ac:dyDescent="0.3">
      <c r="A410" s="11" t="s">
        <v>26</v>
      </c>
      <c r="B410" s="3" t="s">
        <v>134</v>
      </c>
      <c r="C410" s="4"/>
      <c r="D410" s="15"/>
    </row>
    <row r="411" spans="1:4" x14ac:dyDescent="0.3">
      <c r="A411" s="11" t="s">
        <v>99</v>
      </c>
      <c r="B411" s="55">
        <v>2022</v>
      </c>
      <c r="C411" s="4"/>
      <c r="D411" s="15"/>
    </row>
    <row r="412" spans="1:4" x14ac:dyDescent="0.3">
      <c r="A412" s="16"/>
      <c r="B412" s="5"/>
      <c r="C412" s="5"/>
      <c r="D412" s="17"/>
    </row>
    <row r="413" spans="1:4" x14ac:dyDescent="0.3">
      <c r="A413" s="39" t="s">
        <v>94</v>
      </c>
      <c r="B413" s="40"/>
      <c r="C413" s="41" t="s">
        <v>5</v>
      </c>
      <c r="D413" s="42" t="s">
        <v>6</v>
      </c>
    </row>
    <row r="414" spans="1:4" x14ac:dyDescent="0.3">
      <c r="A414" s="18"/>
      <c r="B414" s="6"/>
      <c r="C414" s="7"/>
      <c r="D414" s="19"/>
    </row>
    <row r="415" spans="1:4" x14ac:dyDescent="0.3">
      <c r="A415" s="26" t="s">
        <v>16</v>
      </c>
      <c r="B415" s="27"/>
      <c r="C415" s="28">
        <v>536</v>
      </c>
      <c r="D415" s="29"/>
    </row>
    <row r="416" spans="1:4" ht="24" x14ac:dyDescent="0.3">
      <c r="A416" s="26" t="s">
        <v>104</v>
      </c>
      <c r="B416" s="27"/>
      <c r="C416" s="28"/>
      <c r="D416" s="29"/>
    </row>
    <row r="417" spans="1:4" x14ac:dyDescent="0.3">
      <c r="A417" s="26" t="s">
        <v>8</v>
      </c>
      <c r="B417" s="27"/>
      <c r="C417" s="28"/>
      <c r="D417" s="29"/>
    </row>
    <row r="418" spans="1:4" x14ac:dyDescent="0.3">
      <c r="A418" s="26" t="s">
        <v>9</v>
      </c>
      <c r="B418" s="27"/>
      <c r="C418" s="28"/>
      <c r="D418" s="29"/>
    </row>
    <row r="419" spans="1:4" x14ac:dyDescent="0.3">
      <c r="A419" s="26"/>
      <c r="B419" s="27" t="s">
        <v>10</v>
      </c>
      <c r="C419" s="28"/>
      <c r="D419" s="29">
        <f>C415*11.45%</f>
        <v>61.371999999999993</v>
      </c>
    </row>
    <row r="420" spans="1:4" x14ac:dyDescent="0.3">
      <c r="A420" s="26"/>
      <c r="B420" s="27" t="s">
        <v>11</v>
      </c>
      <c r="C420" s="28"/>
      <c r="D420" s="29"/>
    </row>
    <row r="421" spans="1:4" x14ac:dyDescent="0.3">
      <c r="A421" s="26"/>
      <c r="B421" s="27" t="s">
        <v>55</v>
      </c>
      <c r="C421" s="28"/>
      <c r="D421" s="29"/>
    </row>
    <row r="422" spans="1:4" x14ac:dyDescent="0.3">
      <c r="A422" s="26"/>
      <c r="B422" s="27" t="s">
        <v>18</v>
      </c>
      <c r="C422" s="28"/>
      <c r="D422" s="29">
        <v>170.5</v>
      </c>
    </row>
    <row r="423" spans="1:4" x14ac:dyDescent="0.3">
      <c r="A423" s="26"/>
      <c r="B423" s="27"/>
      <c r="C423" s="28"/>
      <c r="D423" s="29"/>
    </row>
    <row r="424" spans="1:4" x14ac:dyDescent="0.3">
      <c r="A424" s="21"/>
      <c r="B424" s="8"/>
      <c r="C424" s="1"/>
      <c r="D424" s="20"/>
    </row>
    <row r="425" spans="1:4" x14ac:dyDescent="0.3">
      <c r="A425" s="43"/>
      <c r="B425" s="44" t="s">
        <v>12</v>
      </c>
      <c r="C425" s="46">
        <f>SUM(C415:C424)</f>
        <v>536</v>
      </c>
      <c r="D425" s="50">
        <f>SUM(D415:D424)</f>
        <v>231.87199999999999</v>
      </c>
    </row>
    <row r="426" spans="1:4" x14ac:dyDescent="0.3">
      <c r="A426" s="21"/>
      <c r="B426" s="3"/>
      <c r="C426" s="3"/>
      <c r="D426" s="22"/>
    </row>
    <row r="427" spans="1:4" ht="28.2" x14ac:dyDescent="0.3">
      <c r="A427" s="21"/>
      <c r="B427" s="45"/>
      <c r="C427" s="47" t="s">
        <v>13</v>
      </c>
      <c r="D427" s="51">
        <f>+C425-D425</f>
        <v>304.12800000000004</v>
      </c>
    </row>
    <row r="428" spans="1:4" x14ac:dyDescent="0.3">
      <c r="A428" s="21"/>
      <c r="B428" s="3"/>
      <c r="C428" s="3"/>
      <c r="D428" s="22"/>
    </row>
    <row r="429" spans="1:4" x14ac:dyDescent="0.3">
      <c r="A429" s="23"/>
      <c r="B429" s="4" t="s">
        <v>14</v>
      </c>
      <c r="C429" s="2"/>
      <c r="D429" s="24"/>
    </row>
    <row r="430" spans="1:4" ht="15" thickBot="1" x14ac:dyDescent="0.35">
      <c r="A430" s="23"/>
      <c r="B430" s="9"/>
      <c r="C430" s="9"/>
      <c r="D430" s="24"/>
    </row>
    <row r="431" spans="1:4" x14ac:dyDescent="0.3">
      <c r="A431" s="300" t="s">
        <v>28</v>
      </c>
      <c r="B431" s="300" t="s">
        <v>93</v>
      </c>
      <c r="C431" s="302" t="s">
        <v>30</v>
      </c>
      <c r="D431" s="303"/>
    </row>
    <row r="432" spans="1:4" ht="15" thickBot="1" x14ac:dyDescent="0.35">
      <c r="A432" s="301"/>
      <c r="B432" s="301"/>
      <c r="C432" s="304"/>
      <c r="D432" s="305"/>
    </row>
    <row r="433" spans="1:4" x14ac:dyDescent="0.3">
      <c r="A433" s="37"/>
      <c r="B433" s="34"/>
      <c r="C433" s="32"/>
      <c r="D433" s="25"/>
    </row>
    <row r="434" spans="1:4" x14ac:dyDescent="0.3">
      <c r="A434" s="37"/>
      <c r="B434" s="34"/>
      <c r="C434" s="32"/>
      <c r="D434" s="25"/>
    </row>
    <row r="435" spans="1:4" x14ac:dyDescent="0.3">
      <c r="A435" s="37"/>
      <c r="B435" s="34"/>
      <c r="C435" s="32"/>
      <c r="D435" s="25"/>
    </row>
    <row r="436" spans="1:4" x14ac:dyDescent="0.3">
      <c r="A436" s="37"/>
      <c r="B436" s="34"/>
      <c r="C436" s="32"/>
      <c r="D436" s="25"/>
    </row>
    <row r="437" spans="1:4" x14ac:dyDescent="0.3">
      <c r="A437" s="37"/>
      <c r="B437" s="34"/>
      <c r="C437" s="32"/>
      <c r="D437" s="2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8" t="s">
        <v>20</v>
      </c>
      <c r="B443" s="35" t="s">
        <v>21</v>
      </c>
      <c r="C443" s="290" t="s">
        <v>34</v>
      </c>
      <c r="D443" s="291"/>
    </row>
    <row r="444" spans="1:4" ht="15" thickBot="1" x14ac:dyDescent="0.35">
      <c r="A444" s="36" t="s">
        <v>22</v>
      </c>
      <c r="B444" s="33" t="s">
        <v>23</v>
      </c>
      <c r="C444" s="292" t="s">
        <v>35</v>
      </c>
      <c r="D444" s="306"/>
    </row>
  </sheetData>
  <mergeCells count="63">
    <mergeCell ref="C443:D443"/>
    <mergeCell ref="C444:D444"/>
    <mergeCell ref="A400:D400"/>
    <mergeCell ref="A405:D405"/>
    <mergeCell ref="A431:A432"/>
    <mergeCell ref="B431:B432"/>
    <mergeCell ref="C431:D432"/>
    <mergeCell ref="C343:D343"/>
    <mergeCell ref="C344:D344"/>
    <mergeCell ref="A300:D300"/>
    <mergeCell ref="A305:D305"/>
    <mergeCell ref="A331:A332"/>
    <mergeCell ref="B331:B332"/>
    <mergeCell ref="C331:D332"/>
    <mergeCell ref="C293:D293"/>
    <mergeCell ref="C294:D294"/>
    <mergeCell ref="A250:D250"/>
    <mergeCell ref="A255:D255"/>
    <mergeCell ref="A281:A282"/>
    <mergeCell ref="B281:B282"/>
    <mergeCell ref="C281:D282"/>
    <mergeCell ref="C143:D143"/>
    <mergeCell ref="C144:D144"/>
    <mergeCell ref="A100:D100"/>
    <mergeCell ref="A105:D105"/>
    <mergeCell ref="A131:A132"/>
    <mergeCell ref="B131:B132"/>
    <mergeCell ref="C131:D132"/>
    <mergeCell ref="C93:D93"/>
    <mergeCell ref="C94:D94"/>
    <mergeCell ref="A50:D50"/>
    <mergeCell ref="A55:D55"/>
    <mergeCell ref="A81:A82"/>
    <mergeCell ref="B81:B82"/>
    <mergeCell ref="C81:D82"/>
    <mergeCell ref="C45:D45"/>
    <mergeCell ref="C46:D46"/>
    <mergeCell ref="A2:D2"/>
    <mergeCell ref="A7:D7"/>
    <mergeCell ref="A33:A34"/>
    <mergeCell ref="B33:B34"/>
    <mergeCell ref="C33:D34"/>
    <mergeCell ref="C193:D193"/>
    <mergeCell ref="C194:D194"/>
    <mergeCell ref="A150:D150"/>
    <mergeCell ref="A155:D155"/>
    <mergeCell ref="A181:A182"/>
    <mergeCell ref="B181:B182"/>
    <mergeCell ref="C181:D182"/>
    <mergeCell ref="C243:D243"/>
    <mergeCell ref="C244:D244"/>
    <mergeCell ref="A200:D200"/>
    <mergeCell ref="A205:D205"/>
    <mergeCell ref="A231:A232"/>
    <mergeCell ref="B231:B232"/>
    <mergeCell ref="C231:D232"/>
    <mergeCell ref="C393:D393"/>
    <mergeCell ref="C394:D394"/>
    <mergeCell ref="A350:D350"/>
    <mergeCell ref="A355:D355"/>
    <mergeCell ref="A381:A382"/>
    <mergeCell ref="B381:B382"/>
    <mergeCell ref="C381:D382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66"/>
  <sheetViews>
    <sheetView topLeftCell="A2" zoomScale="73" zoomScaleNormal="73" workbookViewId="0">
      <selection activeCell="U46" sqref="U46"/>
    </sheetView>
  </sheetViews>
  <sheetFormatPr baseColWidth="10" defaultRowHeight="15.6" outlineLevelCol="1" x14ac:dyDescent="0.3"/>
  <cols>
    <col min="1" max="1" width="6.77734375" customWidth="1"/>
    <col min="2" max="2" width="7.33203125" customWidth="1"/>
    <col min="3" max="3" width="12.77734375" bestFit="1" customWidth="1"/>
    <col min="4" max="4" width="33.33203125" customWidth="1"/>
    <col min="5" max="5" width="18.109375" customWidth="1"/>
    <col min="6" max="6" width="10.44140625" customWidth="1"/>
    <col min="7" max="7" width="7.77734375" customWidth="1" outlineLevel="1"/>
    <col min="8" max="8" width="9.33203125" customWidth="1" outlineLevel="1"/>
    <col min="9" max="9" width="9" customWidth="1" outlineLevel="1"/>
    <col min="10" max="10" width="8.33203125" customWidth="1" outlineLevel="1"/>
    <col min="11" max="11" width="9.77734375" customWidth="1" outlineLevel="1"/>
    <col min="12" max="12" width="9.88671875" customWidth="1" outlineLevel="1"/>
    <col min="13" max="13" width="10.109375" customWidth="1" outlineLevel="1"/>
    <col min="14" max="14" width="7" customWidth="1" outlineLevel="1"/>
    <col min="15" max="15" width="6.77734375" customWidth="1" outlineLevel="1"/>
    <col min="16" max="16" width="7.6640625" customWidth="1" outlineLevel="1"/>
    <col min="17" max="17" width="7.77734375" customWidth="1" outlineLevel="1"/>
    <col min="18" max="18" width="8" customWidth="1"/>
    <col min="21" max="21" width="24" customWidth="1"/>
    <col min="22" max="22" width="15.5546875" style="123" customWidth="1"/>
    <col min="23" max="23" width="18.33203125" style="126" customWidth="1"/>
    <col min="24" max="24" width="13.88671875" customWidth="1"/>
    <col min="25" max="25" width="10" customWidth="1"/>
  </cols>
  <sheetData>
    <row r="1" spans="1:24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/>
    </row>
    <row r="2" spans="1:24" x14ac:dyDescent="0.3">
      <c r="A2" s="307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9"/>
    </row>
    <row r="3" spans="1:24" x14ac:dyDescent="0.3">
      <c r="A3" s="307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9"/>
    </row>
    <row r="4" spans="1:24" x14ac:dyDescent="0.3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9"/>
    </row>
    <row r="5" spans="1:24" ht="16.2" thickBot="1" x14ac:dyDescent="0.35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2"/>
    </row>
    <row r="6" spans="1:24" ht="18.600000000000001" thickBot="1" x14ac:dyDescent="0.4">
      <c r="A6" s="318" t="s">
        <v>239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1:24" ht="55.2" customHeight="1" x14ac:dyDescent="0.3">
      <c r="A7" s="116" t="s">
        <v>143</v>
      </c>
      <c r="B7" s="117" t="s">
        <v>144</v>
      </c>
      <c r="C7" s="117" t="s">
        <v>145</v>
      </c>
      <c r="D7" s="117" t="s">
        <v>146</v>
      </c>
      <c r="E7" s="117" t="s">
        <v>147</v>
      </c>
      <c r="F7" s="117" t="s">
        <v>148</v>
      </c>
      <c r="G7" s="117" t="s">
        <v>177</v>
      </c>
      <c r="H7" s="117" t="s">
        <v>174</v>
      </c>
      <c r="I7" s="117" t="s">
        <v>149</v>
      </c>
      <c r="J7" s="117" t="s">
        <v>150</v>
      </c>
      <c r="K7" s="117" t="s">
        <v>152</v>
      </c>
      <c r="L7" s="117" t="s">
        <v>186</v>
      </c>
      <c r="M7" s="117" t="s">
        <v>154</v>
      </c>
      <c r="N7" s="117" t="s">
        <v>155</v>
      </c>
      <c r="O7" s="117" t="s">
        <v>156</v>
      </c>
      <c r="P7" s="117" t="s">
        <v>157</v>
      </c>
      <c r="Q7" s="117" t="s">
        <v>158</v>
      </c>
      <c r="R7" s="117" t="s">
        <v>159</v>
      </c>
      <c r="S7" s="117" t="s">
        <v>160</v>
      </c>
      <c r="T7" s="117" t="s">
        <v>13</v>
      </c>
      <c r="U7" s="118" t="s">
        <v>161</v>
      </c>
      <c r="V7" s="129" t="s">
        <v>220</v>
      </c>
      <c r="W7" s="130" t="s">
        <v>229</v>
      </c>
      <c r="X7" s="127" t="s">
        <v>219</v>
      </c>
    </row>
    <row r="8" spans="1:24" ht="28.8" customHeight="1" x14ac:dyDescent="0.3">
      <c r="A8" s="71" t="s">
        <v>120</v>
      </c>
      <c r="B8" s="71">
        <v>2023</v>
      </c>
      <c r="C8" s="94">
        <v>1500721202</v>
      </c>
      <c r="D8" s="64" t="s">
        <v>163</v>
      </c>
      <c r="E8" s="65" t="s">
        <v>15</v>
      </c>
      <c r="F8" s="63">
        <v>1340</v>
      </c>
      <c r="G8" s="63">
        <v>30</v>
      </c>
      <c r="H8" s="72">
        <f t="shared" ref="H8:H13" si="0">ROUND(F8/30*G8,2)</f>
        <v>1340</v>
      </c>
      <c r="I8" s="72"/>
      <c r="J8" s="63"/>
      <c r="K8" s="119">
        <f t="shared" ref="K8:K13" si="1">ROUND(H8+I8+J8,2)</f>
        <v>1340</v>
      </c>
      <c r="L8" s="83">
        <f t="shared" ref="L8:L13" si="2">ROUND(H8*11.45%,2)</f>
        <v>153.43</v>
      </c>
      <c r="M8" s="83">
        <f t="shared" ref="M8:M13" si="3">ROUND(H8*11.65%,2)</f>
        <v>156.11000000000001</v>
      </c>
      <c r="N8" s="63">
        <v>51</v>
      </c>
      <c r="O8" s="63"/>
      <c r="P8" s="63"/>
      <c r="Q8" s="63"/>
      <c r="R8" s="120">
        <f t="shared" ref="R8:R13" si="4">L8+O8+P8+Q8</f>
        <v>153.43</v>
      </c>
      <c r="S8" s="147">
        <f>1340*2/7</f>
        <v>382.85714285714283</v>
      </c>
      <c r="T8" s="140">
        <f t="shared" ref="T8:T13" si="5">+K8-R8-S8</f>
        <v>803.71285714285705</v>
      </c>
      <c r="U8" s="152">
        <f t="shared" ref="U8:U13" si="6">P8+S8+T8</f>
        <v>1186.57</v>
      </c>
      <c r="V8" s="123" t="s">
        <v>207</v>
      </c>
      <c r="W8" s="126" t="s">
        <v>206</v>
      </c>
      <c r="X8">
        <v>1700511</v>
      </c>
    </row>
    <row r="9" spans="1:24" ht="28.8" customHeight="1" x14ac:dyDescent="0.3">
      <c r="A9" s="71" t="s">
        <v>120</v>
      </c>
      <c r="B9" s="71">
        <v>2023</v>
      </c>
      <c r="C9" s="95" t="s">
        <v>198</v>
      </c>
      <c r="D9" s="66" t="s">
        <v>164</v>
      </c>
      <c r="E9" s="65" t="s">
        <v>169</v>
      </c>
      <c r="F9" s="63">
        <v>536</v>
      </c>
      <c r="G9" s="63">
        <v>30</v>
      </c>
      <c r="H9" s="72">
        <f t="shared" si="0"/>
        <v>536</v>
      </c>
      <c r="I9" s="72"/>
      <c r="J9" s="63"/>
      <c r="K9" s="119">
        <f t="shared" si="1"/>
        <v>536</v>
      </c>
      <c r="L9" s="83">
        <f t="shared" si="2"/>
        <v>61.37</v>
      </c>
      <c r="M9" s="83">
        <f t="shared" si="3"/>
        <v>62.44</v>
      </c>
      <c r="N9" s="63">
        <v>51</v>
      </c>
      <c r="O9" s="63"/>
      <c r="P9" s="72">
        <v>26</v>
      </c>
      <c r="Q9" s="63"/>
      <c r="R9" s="120">
        <f t="shared" si="4"/>
        <v>87.37</v>
      </c>
      <c r="S9" s="72"/>
      <c r="T9" s="140">
        <f t="shared" si="5"/>
        <v>448.63</v>
      </c>
      <c r="U9" s="152">
        <f t="shared" si="6"/>
        <v>474.63</v>
      </c>
      <c r="V9" s="123" t="s">
        <v>211</v>
      </c>
      <c r="W9" s="126" t="s">
        <v>205</v>
      </c>
      <c r="X9">
        <v>1410036</v>
      </c>
    </row>
    <row r="10" spans="1:24" ht="28.8" customHeight="1" x14ac:dyDescent="0.3">
      <c r="A10" s="71" t="s">
        <v>120</v>
      </c>
      <c r="B10" s="71">
        <v>2023</v>
      </c>
      <c r="C10" s="95" t="s">
        <v>199</v>
      </c>
      <c r="D10" s="64" t="s">
        <v>165</v>
      </c>
      <c r="E10" s="65" t="s">
        <v>170</v>
      </c>
      <c r="F10" s="63">
        <v>536</v>
      </c>
      <c r="G10" s="63">
        <v>30</v>
      </c>
      <c r="H10" s="72">
        <f t="shared" si="0"/>
        <v>536</v>
      </c>
      <c r="I10" s="72"/>
      <c r="J10" s="63"/>
      <c r="K10" s="119">
        <f t="shared" si="1"/>
        <v>536</v>
      </c>
      <c r="L10" s="83">
        <f t="shared" si="2"/>
        <v>61.37</v>
      </c>
      <c r="M10" s="83">
        <f t="shared" si="3"/>
        <v>62.44</v>
      </c>
      <c r="N10" s="63">
        <v>51</v>
      </c>
      <c r="O10" s="63"/>
      <c r="P10" s="63">
        <v>78.349999999999994</v>
      </c>
      <c r="Q10" s="63"/>
      <c r="R10" s="120">
        <f t="shared" si="4"/>
        <v>139.72</v>
      </c>
      <c r="S10" s="63"/>
      <c r="T10" s="140">
        <f t="shared" si="5"/>
        <v>396.28</v>
      </c>
      <c r="U10" s="152">
        <f t="shared" si="6"/>
        <v>474.63</v>
      </c>
      <c r="V10" s="123" t="s">
        <v>210</v>
      </c>
      <c r="W10" s="126" t="s">
        <v>205</v>
      </c>
      <c r="X10">
        <v>1410036</v>
      </c>
    </row>
    <row r="11" spans="1:24" ht="28.8" customHeight="1" x14ac:dyDescent="0.3">
      <c r="A11" s="71" t="s">
        <v>120</v>
      </c>
      <c r="B11" s="71">
        <v>2023</v>
      </c>
      <c r="C11" s="96">
        <v>1500367295</v>
      </c>
      <c r="D11" s="64" t="s">
        <v>166</v>
      </c>
      <c r="E11" s="65" t="s">
        <v>171</v>
      </c>
      <c r="F11" s="63">
        <v>536</v>
      </c>
      <c r="G11" s="63">
        <v>30</v>
      </c>
      <c r="H11" s="72">
        <f t="shared" si="0"/>
        <v>536</v>
      </c>
      <c r="I11" s="72"/>
      <c r="J11" s="63"/>
      <c r="K11" s="119">
        <f t="shared" si="1"/>
        <v>536</v>
      </c>
      <c r="L11" s="83">
        <f t="shared" si="2"/>
        <v>61.37</v>
      </c>
      <c r="M11" s="83">
        <f t="shared" si="3"/>
        <v>62.44</v>
      </c>
      <c r="N11" s="63">
        <v>51</v>
      </c>
      <c r="O11" s="63"/>
      <c r="P11" s="63"/>
      <c r="Q11" s="63"/>
      <c r="R11" s="120">
        <f t="shared" si="4"/>
        <v>61.37</v>
      </c>
      <c r="S11" s="63"/>
      <c r="T11" s="140">
        <f t="shared" si="5"/>
        <v>474.63</v>
      </c>
      <c r="U11" s="152">
        <f t="shared" si="6"/>
        <v>474.63</v>
      </c>
      <c r="V11" s="123">
        <v>4005110329</v>
      </c>
      <c r="W11" s="126" t="s">
        <v>205</v>
      </c>
      <c r="X11">
        <v>1410036</v>
      </c>
    </row>
    <row r="12" spans="1:24" ht="28.8" customHeight="1" x14ac:dyDescent="0.3">
      <c r="A12" s="71" t="s">
        <v>120</v>
      </c>
      <c r="B12" s="71">
        <v>2023</v>
      </c>
      <c r="C12" s="97">
        <v>1500814940</v>
      </c>
      <c r="D12" s="66" t="s">
        <v>167</v>
      </c>
      <c r="E12" s="65" t="s">
        <v>172</v>
      </c>
      <c r="F12" s="63">
        <v>536</v>
      </c>
      <c r="G12" s="63">
        <v>30</v>
      </c>
      <c r="H12" s="72">
        <f t="shared" si="0"/>
        <v>536</v>
      </c>
      <c r="I12" s="72"/>
      <c r="J12" s="63"/>
      <c r="K12" s="119">
        <f t="shared" si="1"/>
        <v>536</v>
      </c>
      <c r="L12" s="83">
        <f t="shared" si="2"/>
        <v>61.37</v>
      </c>
      <c r="M12" s="83">
        <f t="shared" si="3"/>
        <v>62.44</v>
      </c>
      <c r="N12" s="63">
        <v>51</v>
      </c>
      <c r="O12" s="63"/>
      <c r="P12" s="63"/>
      <c r="Q12" s="63"/>
      <c r="R12" s="120">
        <f t="shared" si="4"/>
        <v>61.37</v>
      </c>
      <c r="S12" s="72">
        <f>536*3/7</f>
        <v>229.71428571428572</v>
      </c>
      <c r="T12" s="140">
        <f t="shared" si="5"/>
        <v>244.91571428571427</v>
      </c>
      <c r="U12" s="152">
        <f t="shared" si="6"/>
        <v>474.63</v>
      </c>
      <c r="V12" s="123" t="s">
        <v>204</v>
      </c>
      <c r="W12" s="126" t="s">
        <v>205</v>
      </c>
      <c r="X12">
        <v>1410036</v>
      </c>
    </row>
    <row r="13" spans="1:24" ht="28.8" customHeight="1" x14ac:dyDescent="0.3">
      <c r="A13" s="71" t="s">
        <v>120</v>
      </c>
      <c r="B13" s="71">
        <v>2023</v>
      </c>
      <c r="C13" s="98" t="s">
        <v>200</v>
      </c>
      <c r="D13" s="67" t="s">
        <v>168</v>
      </c>
      <c r="E13" s="68" t="s">
        <v>173</v>
      </c>
      <c r="F13" s="63">
        <v>733</v>
      </c>
      <c r="G13" s="63">
        <v>30</v>
      </c>
      <c r="H13" s="72">
        <f t="shared" si="0"/>
        <v>733</v>
      </c>
      <c r="I13" s="72"/>
      <c r="J13" s="63"/>
      <c r="K13" s="119">
        <f t="shared" si="1"/>
        <v>733</v>
      </c>
      <c r="L13" s="83">
        <f t="shared" si="2"/>
        <v>83.93</v>
      </c>
      <c r="M13" s="83">
        <f t="shared" si="3"/>
        <v>85.39</v>
      </c>
      <c r="N13" s="63">
        <v>51</v>
      </c>
      <c r="O13" s="63"/>
      <c r="P13" s="63"/>
      <c r="Q13" s="63"/>
      <c r="R13" s="120">
        <f t="shared" si="4"/>
        <v>83.93</v>
      </c>
      <c r="S13" s="63"/>
      <c r="T13" s="140">
        <f t="shared" si="5"/>
        <v>649.06999999999994</v>
      </c>
      <c r="U13" s="152">
        <f t="shared" si="6"/>
        <v>649.06999999999994</v>
      </c>
      <c r="V13" s="123" t="s">
        <v>208</v>
      </c>
      <c r="W13" s="126" t="s">
        <v>209</v>
      </c>
      <c r="X13">
        <v>1600022</v>
      </c>
    </row>
    <row r="14" spans="1:24" ht="28.8" customHeight="1" x14ac:dyDescent="0.3">
      <c r="A14" s="327" t="s">
        <v>185</v>
      </c>
      <c r="B14" s="328"/>
      <c r="C14" s="328"/>
      <c r="D14" s="328"/>
      <c r="E14" s="329"/>
      <c r="F14" s="149">
        <f>SUM(F8:F13)</f>
        <v>4217</v>
      </c>
      <c r="G14" s="149">
        <f t="shared" ref="G14:T14" si="7">SUM(G8:G13)</f>
        <v>180</v>
      </c>
      <c r="H14" s="149">
        <f t="shared" si="7"/>
        <v>4217</v>
      </c>
      <c r="I14" s="149">
        <f t="shared" si="7"/>
        <v>0</v>
      </c>
      <c r="J14" s="149">
        <f t="shared" si="7"/>
        <v>0</v>
      </c>
      <c r="K14" s="149">
        <f t="shared" si="7"/>
        <v>4217</v>
      </c>
      <c r="L14" s="149">
        <f t="shared" si="7"/>
        <v>482.84000000000003</v>
      </c>
      <c r="M14" s="149">
        <f t="shared" si="7"/>
        <v>491.26</v>
      </c>
      <c r="N14" s="149">
        <f t="shared" si="7"/>
        <v>306</v>
      </c>
      <c r="O14" s="149">
        <f t="shared" si="7"/>
        <v>0</v>
      </c>
      <c r="P14" s="149">
        <f t="shared" si="7"/>
        <v>104.35</v>
      </c>
      <c r="Q14" s="149">
        <f t="shared" si="7"/>
        <v>0</v>
      </c>
      <c r="R14" s="150">
        <f t="shared" si="7"/>
        <v>587.19000000000005</v>
      </c>
      <c r="S14" s="149">
        <f t="shared" si="7"/>
        <v>612.57142857142856</v>
      </c>
      <c r="T14" s="155">
        <f t="shared" si="7"/>
        <v>3017.238571428571</v>
      </c>
      <c r="U14" s="93"/>
    </row>
    <row r="15" spans="1:24" x14ac:dyDescent="0.3">
      <c r="A15" s="69"/>
      <c r="B15" s="69"/>
      <c r="C15" s="80"/>
      <c r="D15" s="81"/>
      <c r="E15" s="82"/>
      <c r="F15" s="2"/>
      <c r="G15" s="2"/>
      <c r="H15" s="70"/>
      <c r="I15" s="2"/>
      <c r="J15" s="2"/>
      <c r="K15" s="2"/>
      <c r="L15" s="159">
        <f>H12*11.45%</f>
        <v>61.371999999999993</v>
      </c>
      <c r="M15" s="2"/>
      <c r="N15" s="2"/>
      <c r="O15" s="2"/>
      <c r="P15" s="2"/>
      <c r="Q15" s="2"/>
      <c r="R15" s="2"/>
      <c r="S15" s="2"/>
      <c r="T15" s="2"/>
      <c r="U15" s="2"/>
      <c r="W15" s="148">
        <f>T14+T36+T61</f>
        <v>6870.6315952380946</v>
      </c>
    </row>
    <row r="16" spans="1:24" x14ac:dyDescent="0.3">
      <c r="A16" s="69"/>
      <c r="B16" s="69"/>
      <c r="C16" s="80"/>
      <c r="D16" s="81"/>
      <c r="E16" s="330" t="s">
        <v>28</v>
      </c>
      <c r="F16" s="330"/>
      <c r="G16" s="330"/>
      <c r="H16" s="84"/>
      <c r="I16" s="85"/>
      <c r="J16" s="85"/>
      <c r="K16" s="86"/>
      <c r="L16" s="330" t="s">
        <v>187</v>
      </c>
      <c r="M16" s="330"/>
      <c r="N16" s="330"/>
      <c r="O16" s="330"/>
      <c r="P16" s="330"/>
      <c r="Q16" s="330"/>
      <c r="R16" s="2"/>
      <c r="S16" s="2"/>
      <c r="T16" s="2"/>
      <c r="U16" s="2"/>
    </row>
    <row r="17" spans="1:24" x14ac:dyDescent="0.3">
      <c r="A17" s="69"/>
      <c r="B17" s="69"/>
      <c r="C17" s="80"/>
      <c r="D17" s="81"/>
      <c r="E17" s="143"/>
      <c r="F17" s="143"/>
      <c r="G17" s="143"/>
      <c r="H17" s="84"/>
      <c r="I17" s="85"/>
      <c r="J17" s="85"/>
      <c r="K17" s="86"/>
      <c r="L17" s="143"/>
      <c r="M17" s="143"/>
      <c r="N17" s="143"/>
      <c r="O17" s="143"/>
      <c r="P17" s="143"/>
      <c r="Q17" s="143"/>
      <c r="R17" s="2"/>
      <c r="S17" s="2"/>
      <c r="T17" s="2"/>
      <c r="U17" s="2"/>
    </row>
    <row r="18" spans="1:24" x14ac:dyDescent="0.3">
      <c r="E18" s="145"/>
      <c r="F18" s="146"/>
      <c r="G18" s="145"/>
      <c r="H18" s="146"/>
      <c r="I18" s="85"/>
      <c r="J18" s="85"/>
      <c r="K18" s="88"/>
      <c r="L18" s="88"/>
      <c r="M18" s="88"/>
      <c r="N18" s="88"/>
      <c r="O18" s="88"/>
      <c r="P18" s="89"/>
      <c r="Q18" s="89"/>
    </row>
    <row r="19" spans="1:24" x14ac:dyDescent="0.3">
      <c r="E19" s="317" t="s">
        <v>188</v>
      </c>
      <c r="F19" s="317"/>
      <c r="G19" s="317"/>
      <c r="H19" s="317"/>
      <c r="I19" s="85"/>
      <c r="J19" s="85"/>
      <c r="K19" s="88"/>
      <c r="L19" s="331" t="s">
        <v>189</v>
      </c>
      <c r="M19" s="331"/>
      <c r="N19" s="331"/>
      <c r="O19" s="331"/>
      <c r="P19" s="331"/>
      <c r="Q19" s="331"/>
    </row>
    <row r="20" spans="1:24" x14ac:dyDescent="0.3">
      <c r="E20" s="316" t="s">
        <v>238</v>
      </c>
      <c r="F20" s="316"/>
      <c r="G20" s="316"/>
      <c r="H20" s="316"/>
      <c r="L20" s="316" t="s">
        <v>237</v>
      </c>
      <c r="M20" s="316"/>
      <c r="N20" s="316"/>
      <c r="O20" s="316"/>
      <c r="P20" s="316"/>
      <c r="Q20" s="316"/>
    </row>
    <row r="21" spans="1:24" ht="16.2" thickBot="1" x14ac:dyDescent="0.35">
      <c r="E21" s="144"/>
      <c r="F21" s="144"/>
      <c r="G21" s="144"/>
      <c r="H21" s="84"/>
      <c r="I21" s="85"/>
      <c r="J21" s="85"/>
      <c r="K21" s="88"/>
      <c r="L21" s="144"/>
      <c r="M21" s="144"/>
      <c r="N21" s="144"/>
      <c r="O21" s="144"/>
      <c r="P21" s="144"/>
      <c r="Q21" s="144"/>
    </row>
    <row r="22" spans="1:24" ht="25.2" customHeight="1" x14ac:dyDescent="0.3">
      <c r="A22" s="294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6"/>
    </row>
    <row r="23" spans="1:24" x14ac:dyDescent="0.3">
      <c r="A23" s="307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9"/>
    </row>
    <row r="24" spans="1:24" x14ac:dyDescent="0.3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9"/>
    </row>
    <row r="25" spans="1:24" x14ac:dyDescent="0.3">
      <c r="A25" s="307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9"/>
    </row>
    <row r="26" spans="1:24" ht="16.2" thickBot="1" x14ac:dyDescent="0.35">
      <c r="A26" s="307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9"/>
    </row>
    <row r="27" spans="1:24" ht="18.600000000000001" thickBot="1" x14ac:dyDescent="0.4">
      <c r="A27" s="321" t="s">
        <v>240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3"/>
    </row>
    <row r="28" spans="1:24" ht="57.6" x14ac:dyDescent="0.3">
      <c r="A28" s="108" t="s">
        <v>143</v>
      </c>
      <c r="B28" s="109" t="s">
        <v>144</v>
      </c>
      <c r="C28" s="109" t="s">
        <v>145</v>
      </c>
      <c r="D28" s="109" t="s">
        <v>146</v>
      </c>
      <c r="E28" s="109" t="s">
        <v>147</v>
      </c>
      <c r="F28" s="109" t="s">
        <v>148</v>
      </c>
      <c r="G28" s="109" t="s">
        <v>151</v>
      </c>
      <c r="H28" s="109" t="s">
        <v>174</v>
      </c>
      <c r="I28" s="109" t="s">
        <v>149</v>
      </c>
      <c r="J28" s="109" t="s">
        <v>150</v>
      </c>
      <c r="K28" s="109" t="s">
        <v>152</v>
      </c>
      <c r="L28" s="109" t="s">
        <v>153</v>
      </c>
      <c r="M28" s="109" t="s">
        <v>197</v>
      </c>
      <c r="N28" s="109" t="s">
        <v>155</v>
      </c>
      <c r="O28" s="109" t="s">
        <v>156</v>
      </c>
      <c r="P28" s="109" t="s">
        <v>157</v>
      </c>
      <c r="Q28" s="109" t="s">
        <v>158</v>
      </c>
      <c r="R28" s="109" t="s">
        <v>159</v>
      </c>
      <c r="S28" s="109" t="s">
        <v>160</v>
      </c>
      <c r="T28" s="109" t="s">
        <v>13</v>
      </c>
      <c r="U28" s="115" t="s">
        <v>161</v>
      </c>
      <c r="V28" s="131" t="s">
        <v>220</v>
      </c>
      <c r="W28" s="132" t="s">
        <v>229</v>
      </c>
      <c r="X28" s="133" t="s">
        <v>219</v>
      </c>
    </row>
    <row r="29" spans="1:24" ht="31.2" customHeight="1" x14ac:dyDescent="0.3">
      <c r="A29" s="71" t="s">
        <v>120</v>
      </c>
      <c r="B29" s="71">
        <v>2023</v>
      </c>
      <c r="C29" s="73" t="s">
        <v>179</v>
      </c>
      <c r="D29" s="73" t="s">
        <v>178</v>
      </c>
      <c r="E29" s="73" t="s">
        <v>183</v>
      </c>
      <c r="F29" s="74">
        <v>553</v>
      </c>
      <c r="G29" s="63">
        <v>30</v>
      </c>
      <c r="H29" s="72">
        <f>F29</f>
        <v>553</v>
      </c>
      <c r="I29" s="63"/>
      <c r="J29" s="63"/>
      <c r="K29" s="75">
        <f>ROUND(H29+I29+J29,2)</f>
        <v>553</v>
      </c>
      <c r="L29" s="72">
        <f>F29*9.45%</f>
        <v>52.258499999999991</v>
      </c>
      <c r="M29" s="72">
        <f>F29*12.15%</f>
        <v>67.189499999999995</v>
      </c>
      <c r="N29" s="63">
        <v>71</v>
      </c>
      <c r="O29" s="63"/>
      <c r="P29" s="63"/>
      <c r="Q29" s="63"/>
      <c r="R29" s="72">
        <f>L29+O29+P29+Q29</f>
        <v>52.258499999999991</v>
      </c>
      <c r="S29" s="103">
        <v>263.5</v>
      </c>
      <c r="T29" s="141">
        <f>K29-R29-S29</f>
        <v>237.24150000000003</v>
      </c>
      <c r="U29" s="152">
        <f>S29+T29</f>
        <v>500.74150000000003</v>
      </c>
      <c r="V29" s="123" t="s">
        <v>212</v>
      </c>
      <c r="W29" s="126" t="s">
        <v>205</v>
      </c>
      <c r="X29">
        <v>1410036</v>
      </c>
    </row>
    <row r="30" spans="1:24" ht="31.2" customHeight="1" x14ac:dyDescent="0.3">
      <c r="A30" s="71" t="s">
        <v>120</v>
      </c>
      <c r="B30" s="71">
        <v>2023</v>
      </c>
      <c r="C30" s="73" t="s">
        <v>77</v>
      </c>
      <c r="D30" s="73" t="s">
        <v>73</v>
      </c>
      <c r="E30" s="73" t="s">
        <v>74</v>
      </c>
      <c r="F30" s="74">
        <v>708</v>
      </c>
      <c r="G30" s="63">
        <v>30</v>
      </c>
      <c r="H30" s="72">
        <f t="shared" ref="H30:H35" si="8">F30</f>
        <v>708</v>
      </c>
      <c r="I30" s="63"/>
      <c r="J30" s="63"/>
      <c r="K30" s="75">
        <f t="shared" ref="K30:K35" si="9">ROUND(H30+I30+J30,2)</f>
        <v>708</v>
      </c>
      <c r="L30" s="72">
        <f t="shared" ref="L30:L35" si="10">F30*9.45%</f>
        <v>66.905999999999992</v>
      </c>
      <c r="M30" s="72">
        <f t="shared" ref="M30:M35" si="11">F30*12.15%</f>
        <v>86.021999999999991</v>
      </c>
      <c r="N30" s="63">
        <v>71</v>
      </c>
      <c r="O30" s="102"/>
      <c r="P30" s="102"/>
      <c r="Q30" s="102"/>
      <c r="R30" s="72">
        <f t="shared" ref="R30:R35" si="12">L30+O30+P30+Q30</f>
        <v>66.905999999999992</v>
      </c>
      <c r="S30" s="72">
        <f>1416/9</f>
        <v>157.33333333333334</v>
      </c>
      <c r="T30" s="141">
        <f t="shared" ref="T30:T35" si="13">K30-R30-S30</f>
        <v>483.76066666666668</v>
      </c>
      <c r="U30" s="152">
        <f t="shared" ref="U30:U35" si="14">S30+T30</f>
        <v>641.09400000000005</v>
      </c>
      <c r="V30" s="123" t="s">
        <v>221</v>
      </c>
      <c r="W30" s="126" t="s">
        <v>205</v>
      </c>
      <c r="X30">
        <v>1410036</v>
      </c>
    </row>
    <row r="31" spans="1:24" ht="36.6" customHeight="1" x14ac:dyDescent="0.3">
      <c r="A31" s="71" t="s">
        <v>120</v>
      </c>
      <c r="B31" s="71">
        <v>2023</v>
      </c>
      <c r="C31" s="73" t="s">
        <v>79</v>
      </c>
      <c r="D31" s="73" t="s">
        <v>78</v>
      </c>
      <c r="E31" s="73" t="s">
        <v>184</v>
      </c>
      <c r="F31" s="74">
        <v>566</v>
      </c>
      <c r="G31" s="63">
        <v>30</v>
      </c>
      <c r="H31" s="72">
        <f t="shared" si="8"/>
        <v>566</v>
      </c>
      <c r="I31" s="63"/>
      <c r="J31" s="63"/>
      <c r="K31" s="75">
        <f t="shared" si="9"/>
        <v>566</v>
      </c>
      <c r="L31" s="72">
        <f t="shared" si="10"/>
        <v>53.486999999999995</v>
      </c>
      <c r="M31" s="72">
        <f t="shared" si="11"/>
        <v>68.768999999999991</v>
      </c>
      <c r="N31" s="63">
        <v>71</v>
      </c>
      <c r="O31" s="103">
        <v>92.02</v>
      </c>
      <c r="P31" s="102"/>
      <c r="Q31" s="102"/>
      <c r="R31" s="72">
        <f t="shared" si="12"/>
        <v>145.50700000000001</v>
      </c>
      <c r="S31" s="63">
        <f>1698/6</f>
        <v>283</v>
      </c>
      <c r="T31" s="141">
        <f t="shared" si="13"/>
        <v>137.49299999999999</v>
      </c>
      <c r="U31" s="152">
        <f t="shared" si="14"/>
        <v>420.49299999999999</v>
      </c>
      <c r="V31" s="123" t="s">
        <v>228</v>
      </c>
      <c r="W31" s="126" t="s">
        <v>209</v>
      </c>
      <c r="X31">
        <v>1600022</v>
      </c>
    </row>
    <row r="32" spans="1:24" ht="31.2" customHeight="1" x14ac:dyDescent="0.3">
      <c r="A32" s="71" t="s">
        <v>120</v>
      </c>
      <c r="B32" s="71">
        <v>2023</v>
      </c>
      <c r="C32" s="73" t="s">
        <v>180</v>
      </c>
      <c r="D32" s="73" t="s">
        <v>69</v>
      </c>
      <c r="E32" s="73" t="s">
        <v>66</v>
      </c>
      <c r="F32" s="74">
        <v>584</v>
      </c>
      <c r="G32" s="63">
        <v>30</v>
      </c>
      <c r="H32" s="72">
        <f t="shared" si="8"/>
        <v>584</v>
      </c>
      <c r="I32" s="63"/>
      <c r="J32" s="63"/>
      <c r="K32" s="75">
        <f t="shared" si="9"/>
        <v>584</v>
      </c>
      <c r="L32" s="72">
        <f t="shared" si="10"/>
        <v>55.187999999999995</v>
      </c>
      <c r="M32" s="72">
        <f t="shared" si="11"/>
        <v>70.956000000000003</v>
      </c>
      <c r="N32" s="63">
        <v>71</v>
      </c>
      <c r="O32" s="103"/>
      <c r="P32" s="102"/>
      <c r="Q32" s="103">
        <v>66.069999999999993</v>
      </c>
      <c r="R32" s="72">
        <f t="shared" si="12"/>
        <v>121.25799999999998</v>
      </c>
      <c r="S32" s="63">
        <f>1752/6</f>
        <v>292</v>
      </c>
      <c r="T32" s="141">
        <f t="shared" si="13"/>
        <v>170.74200000000002</v>
      </c>
      <c r="U32" s="152">
        <f t="shared" si="14"/>
        <v>462.74200000000002</v>
      </c>
      <c r="V32" s="123" t="s">
        <v>222</v>
      </c>
      <c r="W32" s="126" t="s">
        <v>209</v>
      </c>
      <c r="X32">
        <v>1600022</v>
      </c>
    </row>
    <row r="33" spans="1:24" ht="31.2" customHeight="1" x14ac:dyDescent="0.3">
      <c r="A33" s="71" t="s">
        <v>120</v>
      </c>
      <c r="B33" s="71">
        <v>2023</v>
      </c>
      <c r="C33" s="73" t="s">
        <v>89</v>
      </c>
      <c r="D33" s="73" t="s">
        <v>88</v>
      </c>
      <c r="E33" s="73" t="s">
        <v>90</v>
      </c>
      <c r="F33" s="74">
        <v>527</v>
      </c>
      <c r="G33" s="63">
        <v>30</v>
      </c>
      <c r="H33" s="72">
        <f t="shared" si="8"/>
        <v>527</v>
      </c>
      <c r="I33" s="63"/>
      <c r="J33" s="63"/>
      <c r="K33" s="75">
        <f t="shared" si="9"/>
        <v>527</v>
      </c>
      <c r="L33" s="72">
        <f>F33*9.45%</f>
        <v>49.80149999999999</v>
      </c>
      <c r="M33" s="72">
        <f>F33*12.15%</f>
        <v>64.030500000000004</v>
      </c>
      <c r="N33" s="63">
        <v>71</v>
      </c>
      <c r="O33" s="102"/>
      <c r="P33" s="102"/>
      <c r="Q33" s="102"/>
      <c r="R33" s="72">
        <f t="shared" si="12"/>
        <v>49.80149999999999</v>
      </c>
      <c r="S33" s="72">
        <f>1581/7</f>
        <v>225.85714285714286</v>
      </c>
      <c r="T33" s="141">
        <f t="shared" si="13"/>
        <v>251.34135714285716</v>
      </c>
      <c r="U33" s="152">
        <f t="shared" si="14"/>
        <v>477.19850000000002</v>
      </c>
      <c r="V33" s="123" t="s">
        <v>218</v>
      </c>
      <c r="W33" s="126" t="s">
        <v>205</v>
      </c>
      <c r="X33">
        <v>1410036</v>
      </c>
    </row>
    <row r="34" spans="1:24" ht="31.2" customHeight="1" x14ac:dyDescent="0.3">
      <c r="A34" s="71" t="s">
        <v>120</v>
      </c>
      <c r="B34" s="71">
        <v>2023</v>
      </c>
      <c r="C34" s="73" t="s">
        <v>181</v>
      </c>
      <c r="D34" s="73" t="s">
        <v>95</v>
      </c>
      <c r="E34" s="73" t="s">
        <v>87</v>
      </c>
      <c r="F34" s="74">
        <v>500</v>
      </c>
      <c r="G34" s="63">
        <v>30</v>
      </c>
      <c r="H34" s="72">
        <f t="shared" si="8"/>
        <v>500</v>
      </c>
      <c r="I34" s="63"/>
      <c r="J34" s="63"/>
      <c r="K34" s="75">
        <f t="shared" si="9"/>
        <v>500</v>
      </c>
      <c r="L34" s="72">
        <f t="shared" si="10"/>
        <v>47.249999999999993</v>
      </c>
      <c r="M34" s="72">
        <f t="shared" si="11"/>
        <v>60.75</v>
      </c>
      <c r="N34" s="63">
        <v>71</v>
      </c>
      <c r="O34" s="103">
        <v>46.1</v>
      </c>
      <c r="P34" s="102"/>
      <c r="Q34" s="102"/>
      <c r="R34" s="72">
        <f t="shared" si="12"/>
        <v>93.35</v>
      </c>
      <c r="S34" s="103">
        <f>1500/6</f>
        <v>250</v>
      </c>
      <c r="T34" s="141">
        <f>K34-R34-S34</f>
        <v>156.64999999999998</v>
      </c>
      <c r="U34" s="152">
        <f t="shared" si="14"/>
        <v>406.65</v>
      </c>
      <c r="V34" s="123" t="s">
        <v>216</v>
      </c>
      <c r="W34" s="126" t="s">
        <v>217</v>
      </c>
      <c r="X34">
        <v>1700427</v>
      </c>
    </row>
    <row r="35" spans="1:24" ht="31.2" customHeight="1" x14ac:dyDescent="0.3">
      <c r="A35" s="71" t="s">
        <v>120</v>
      </c>
      <c r="B35" s="71">
        <v>2023</v>
      </c>
      <c r="C35" s="73" t="s">
        <v>182</v>
      </c>
      <c r="D35" s="73" t="s">
        <v>65</v>
      </c>
      <c r="E35" s="73" t="s">
        <v>66</v>
      </c>
      <c r="F35" s="76">
        <v>614</v>
      </c>
      <c r="G35" s="63">
        <v>30</v>
      </c>
      <c r="H35" s="72">
        <f t="shared" si="8"/>
        <v>614</v>
      </c>
      <c r="I35" s="77"/>
      <c r="J35" s="77"/>
      <c r="K35" s="75">
        <f t="shared" si="9"/>
        <v>614</v>
      </c>
      <c r="L35" s="72">
        <f t="shared" si="10"/>
        <v>58.022999999999989</v>
      </c>
      <c r="M35" s="72">
        <f t="shared" si="11"/>
        <v>74.600999999999999</v>
      </c>
      <c r="N35" s="77">
        <v>71</v>
      </c>
      <c r="O35" s="77"/>
      <c r="P35" s="77"/>
      <c r="Q35" s="77"/>
      <c r="R35" s="78">
        <f t="shared" si="12"/>
        <v>58.022999999999989</v>
      </c>
      <c r="S35" s="77">
        <f>1698/10</f>
        <v>169.8</v>
      </c>
      <c r="T35" s="141">
        <f t="shared" si="13"/>
        <v>386.17699999999996</v>
      </c>
      <c r="U35" s="152">
        <f t="shared" si="14"/>
        <v>555.97699999999998</v>
      </c>
      <c r="V35" s="123" t="s">
        <v>223</v>
      </c>
      <c r="W35" s="126" t="s">
        <v>224</v>
      </c>
      <c r="X35">
        <v>1700027</v>
      </c>
    </row>
    <row r="36" spans="1:24" x14ac:dyDescent="0.3">
      <c r="A36" s="327" t="s">
        <v>185</v>
      </c>
      <c r="B36" s="328"/>
      <c r="C36" s="328"/>
      <c r="D36" s="328"/>
      <c r="E36" s="329"/>
      <c r="F36" s="151">
        <f>SUM(F29:F35)</f>
        <v>4052</v>
      </c>
      <c r="G36" s="151">
        <f t="shared" ref="G36:S36" si="15">SUM(G29:G35)</f>
        <v>210</v>
      </c>
      <c r="H36" s="151">
        <f t="shared" si="15"/>
        <v>4052</v>
      </c>
      <c r="I36" s="151">
        <f t="shared" si="15"/>
        <v>0</v>
      </c>
      <c r="J36" s="151">
        <f t="shared" si="15"/>
        <v>0</v>
      </c>
      <c r="K36" s="151">
        <f t="shared" si="15"/>
        <v>4052</v>
      </c>
      <c r="L36" s="151">
        <f t="shared" si="15"/>
        <v>382.91399999999993</v>
      </c>
      <c r="M36" s="151">
        <f t="shared" si="15"/>
        <v>492.31800000000004</v>
      </c>
      <c r="N36" s="151"/>
      <c r="O36" s="151">
        <f t="shared" si="15"/>
        <v>138.12</v>
      </c>
      <c r="P36" s="151">
        <f t="shared" si="15"/>
        <v>0</v>
      </c>
      <c r="Q36" s="151">
        <f t="shared" si="15"/>
        <v>66.069999999999993</v>
      </c>
      <c r="R36" s="151">
        <f t="shared" si="15"/>
        <v>587.10399999999993</v>
      </c>
      <c r="S36" s="151">
        <f t="shared" si="15"/>
        <v>1641.4904761904761</v>
      </c>
      <c r="T36" s="156">
        <f>SUM(T29:T35)</f>
        <v>1823.4055238095236</v>
      </c>
      <c r="U36" s="79"/>
    </row>
    <row r="39" spans="1:24" x14ac:dyDescent="0.3">
      <c r="C39">
        <f>225.86*4</f>
        <v>903.44</v>
      </c>
      <c r="E39" s="330" t="s">
        <v>28</v>
      </c>
      <c r="F39" s="330"/>
      <c r="G39" s="330"/>
      <c r="H39" s="84"/>
      <c r="I39" s="85"/>
      <c r="J39" s="85"/>
      <c r="K39" s="86"/>
      <c r="L39" s="330" t="s">
        <v>187</v>
      </c>
      <c r="M39" s="330"/>
      <c r="N39" s="330"/>
      <c r="O39" s="330"/>
      <c r="P39" s="330"/>
      <c r="Q39" s="330"/>
    </row>
    <row r="40" spans="1:24" x14ac:dyDescent="0.3">
      <c r="E40" s="143"/>
      <c r="F40" s="143"/>
      <c r="G40" s="143"/>
      <c r="H40" s="84"/>
      <c r="I40" s="85"/>
      <c r="J40" s="85"/>
      <c r="K40" s="86"/>
      <c r="L40" s="143"/>
      <c r="M40" s="143"/>
      <c r="N40" s="143"/>
      <c r="O40" s="143"/>
      <c r="P40" s="143"/>
      <c r="Q40" s="143"/>
    </row>
    <row r="41" spans="1:24" x14ac:dyDescent="0.3">
      <c r="E41" s="145"/>
      <c r="F41" s="146"/>
      <c r="G41" s="145"/>
      <c r="H41" s="146"/>
      <c r="I41" s="85"/>
      <c r="J41" s="85"/>
      <c r="K41" s="88"/>
      <c r="L41" s="88"/>
      <c r="M41" s="88"/>
      <c r="N41" s="88"/>
      <c r="O41" s="88"/>
      <c r="P41" s="89"/>
      <c r="Q41" s="89"/>
    </row>
    <row r="42" spans="1:24" x14ac:dyDescent="0.3">
      <c r="E42" s="317" t="s">
        <v>188</v>
      </c>
      <c r="F42" s="317"/>
      <c r="G42" s="317"/>
      <c r="H42" s="317"/>
      <c r="I42" s="85"/>
      <c r="J42" s="85"/>
      <c r="K42" s="88"/>
      <c r="L42" s="331" t="s">
        <v>189</v>
      </c>
      <c r="M42" s="331"/>
      <c r="N42" s="331"/>
      <c r="O42" s="331"/>
      <c r="P42" s="331"/>
      <c r="Q42" s="331"/>
    </row>
    <row r="43" spans="1:24" x14ac:dyDescent="0.3">
      <c r="E43" s="316" t="s">
        <v>238</v>
      </c>
      <c r="F43" s="316"/>
      <c r="G43" s="316"/>
      <c r="H43" s="316"/>
      <c r="L43" s="316" t="s">
        <v>237</v>
      </c>
      <c r="M43" s="316"/>
      <c r="N43" s="316"/>
      <c r="O43" s="316"/>
      <c r="P43" s="316"/>
      <c r="Q43" s="316"/>
    </row>
    <row r="50" spans="1:24" ht="15.6" customHeight="1" thickBot="1" x14ac:dyDescent="0.35"/>
    <row r="51" spans="1:24" ht="15.6" customHeight="1" x14ac:dyDescent="0.3">
      <c r="A51" s="294"/>
      <c r="B51" s="295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6"/>
    </row>
    <row r="52" spans="1:24" ht="15.6" customHeight="1" x14ac:dyDescent="0.3">
      <c r="A52" s="307"/>
      <c r="B52" s="308"/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9"/>
    </row>
    <row r="53" spans="1:24" ht="15.6" customHeight="1" x14ac:dyDescent="0.3">
      <c r="A53" s="307"/>
      <c r="B53" s="308"/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09"/>
    </row>
    <row r="54" spans="1:24" ht="15.6" customHeight="1" x14ac:dyDescent="0.3">
      <c r="A54" s="307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9"/>
    </row>
    <row r="55" spans="1:24" ht="15.6" customHeight="1" thickBot="1" x14ac:dyDescent="0.35">
      <c r="A55" s="307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9"/>
    </row>
    <row r="56" spans="1:24" ht="16.2" customHeight="1" thickBot="1" x14ac:dyDescent="0.35">
      <c r="A56" s="324" t="s">
        <v>241</v>
      </c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6"/>
    </row>
    <row r="57" spans="1:24" ht="38.4" customHeight="1" x14ac:dyDescent="0.3">
      <c r="A57" s="104" t="s">
        <v>143</v>
      </c>
      <c r="B57" s="105" t="s">
        <v>144</v>
      </c>
      <c r="C57" s="105" t="s">
        <v>145</v>
      </c>
      <c r="D57" s="105" t="s">
        <v>146</v>
      </c>
      <c r="E57" s="105" t="s">
        <v>147</v>
      </c>
      <c r="F57" s="105" t="s">
        <v>148</v>
      </c>
      <c r="G57" s="105" t="s">
        <v>151</v>
      </c>
      <c r="H57" s="105" t="s">
        <v>174</v>
      </c>
      <c r="I57" s="105" t="s">
        <v>149</v>
      </c>
      <c r="J57" s="105" t="s">
        <v>150</v>
      </c>
      <c r="K57" s="105" t="s">
        <v>152</v>
      </c>
      <c r="L57" s="105" t="s">
        <v>186</v>
      </c>
      <c r="M57" s="105" t="s">
        <v>154</v>
      </c>
      <c r="N57" s="105" t="s">
        <v>155</v>
      </c>
      <c r="O57" s="105" t="s">
        <v>156</v>
      </c>
      <c r="P57" s="105" t="s">
        <v>157</v>
      </c>
      <c r="Q57" s="105" t="s">
        <v>158</v>
      </c>
      <c r="R57" s="105" t="s">
        <v>159</v>
      </c>
      <c r="S57" s="105" t="s">
        <v>160</v>
      </c>
      <c r="T57" s="105" t="s">
        <v>13</v>
      </c>
      <c r="U57" s="106" t="s">
        <v>161</v>
      </c>
      <c r="V57" s="129" t="s">
        <v>220</v>
      </c>
      <c r="W57" s="130" t="s">
        <v>229</v>
      </c>
      <c r="X57" s="127" t="s">
        <v>219</v>
      </c>
    </row>
    <row r="58" spans="1:24" ht="31.2" customHeight="1" x14ac:dyDescent="0.3">
      <c r="A58" s="71" t="s">
        <v>120</v>
      </c>
      <c r="B58" s="71">
        <v>2023</v>
      </c>
      <c r="C58" s="73">
        <v>2200446587</v>
      </c>
      <c r="D58" s="73" t="s">
        <v>190</v>
      </c>
      <c r="E58" s="73" t="s">
        <v>191</v>
      </c>
      <c r="F58" s="91">
        <v>527</v>
      </c>
      <c r="G58" s="63">
        <v>30</v>
      </c>
      <c r="H58" s="72">
        <f>F58</f>
        <v>527</v>
      </c>
      <c r="I58" s="92">
        <f>H58/12</f>
        <v>43.916666666666664</v>
      </c>
      <c r="J58" s="72">
        <f>450/12</f>
        <v>37.5</v>
      </c>
      <c r="K58" s="119">
        <f>ROUND(H58+I58+J58,2)</f>
        <v>608.41999999999996</v>
      </c>
      <c r="L58" s="92">
        <f>H58*11.45%</f>
        <v>60.341499999999996</v>
      </c>
      <c r="M58" s="92">
        <f>F58*11.65%</f>
        <v>61.395500000000006</v>
      </c>
      <c r="N58" s="63">
        <v>71</v>
      </c>
      <c r="O58" s="63"/>
      <c r="P58" s="63"/>
      <c r="Q58" s="63"/>
      <c r="R58" s="119">
        <f>L58+O58+P58+Q58</f>
        <v>60.341499999999996</v>
      </c>
      <c r="S58" s="63"/>
      <c r="T58" s="140">
        <f>K58-R58-S58</f>
        <v>548.07849999999996</v>
      </c>
      <c r="U58" s="152">
        <f>S58+T58</f>
        <v>548.07849999999996</v>
      </c>
      <c r="V58" s="123" t="s">
        <v>230</v>
      </c>
      <c r="W58" s="126" t="s">
        <v>209</v>
      </c>
      <c r="X58">
        <v>1600022</v>
      </c>
    </row>
    <row r="59" spans="1:24" ht="31.2" customHeight="1" x14ac:dyDescent="0.3">
      <c r="A59" s="71" t="s">
        <v>120</v>
      </c>
      <c r="B59" s="71">
        <v>2023</v>
      </c>
      <c r="C59" s="73">
        <v>2200238240</v>
      </c>
      <c r="D59" s="73" t="s">
        <v>125</v>
      </c>
      <c r="E59" s="73" t="s">
        <v>66</v>
      </c>
      <c r="F59" s="91">
        <v>566</v>
      </c>
      <c r="G59" s="63">
        <v>30</v>
      </c>
      <c r="H59" s="72">
        <f>F59</f>
        <v>566</v>
      </c>
      <c r="I59" s="92"/>
      <c r="J59" s="72"/>
      <c r="K59" s="119">
        <f>ROUND(H59+I59+J59,2)</f>
        <v>566</v>
      </c>
      <c r="L59" s="92">
        <f>F59*11.45%</f>
        <v>64.806999999999988</v>
      </c>
      <c r="M59" s="92">
        <f>F59*11.65%</f>
        <v>65.939000000000007</v>
      </c>
      <c r="N59" s="63">
        <v>71</v>
      </c>
      <c r="O59" s="63"/>
      <c r="P59" s="63"/>
      <c r="Q59" s="63"/>
      <c r="R59" s="119">
        <f>L59+O59+P59+Q59</f>
        <v>64.806999999999988</v>
      </c>
      <c r="S59" s="122">
        <v>188.66</v>
      </c>
      <c r="T59" s="140">
        <f>K59-R59-S59</f>
        <v>312.53300000000002</v>
      </c>
      <c r="U59" s="152">
        <f>S59+T59</f>
        <v>501.19299999999998</v>
      </c>
      <c r="V59" s="123" t="s">
        <v>225</v>
      </c>
      <c r="W59" s="126" t="s">
        <v>226</v>
      </c>
      <c r="X59">
        <v>1600303</v>
      </c>
    </row>
    <row r="60" spans="1:24" ht="31.2" customHeight="1" x14ac:dyDescent="0.3">
      <c r="A60" s="71" t="s">
        <v>120</v>
      </c>
      <c r="B60" s="71">
        <v>2023</v>
      </c>
      <c r="C60" s="142" t="s">
        <v>235</v>
      </c>
      <c r="D60" s="73" t="s">
        <v>195</v>
      </c>
      <c r="E60" s="73" t="s">
        <v>196</v>
      </c>
      <c r="F60" s="91">
        <v>1212</v>
      </c>
      <c r="G60" s="63">
        <v>30</v>
      </c>
      <c r="H60" s="72">
        <f>+F60/31*G60</f>
        <v>1172.9032258064515</v>
      </c>
      <c r="I60" s="92">
        <f>H60/12</f>
        <v>97.741935483870961</v>
      </c>
      <c r="J60" s="72">
        <f>450/12</f>
        <v>37.5</v>
      </c>
      <c r="K60" s="119">
        <f>ROUND(H60+I60+J60,2)</f>
        <v>1308.1500000000001</v>
      </c>
      <c r="L60" s="92">
        <f>F60*11.45%</f>
        <v>138.774</v>
      </c>
      <c r="M60" s="92">
        <f>F60*11.65%</f>
        <v>141.19800000000001</v>
      </c>
      <c r="N60" s="63">
        <v>71</v>
      </c>
      <c r="O60" s="63"/>
      <c r="P60" s="63"/>
      <c r="Q60" s="63"/>
      <c r="R60" s="119">
        <f>L60+O60+P60+Q60</f>
        <v>138.774</v>
      </c>
      <c r="S60" s="63"/>
      <c r="T60" s="140">
        <f>K60-R60-S60</f>
        <v>1169.3760000000002</v>
      </c>
      <c r="U60" s="152">
        <f>S60+T60</f>
        <v>1169.3760000000002</v>
      </c>
      <c r="V60" s="123" t="s">
        <v>214</v>
      </c>
      <c r="W60" s="126" t="s">
        <v>213</v>
      </c>
      <c r="X60">
        <v>2600021</v>
      </c>
    </row>
    <row r="61" spans="1:24" ht="31.2" customHeight="1" x14ac:dyDescent="0.3">
      <c r="A61" s="332" t="s">
        <v>185</v>
      </c>
      <c r="B61" s="333"/>
      <c r="C61" s="333"/>
      <c r="D61" s="333"/>
      <c r="E61" s="334"/>
      <c r="F61" s="63"/>
      <c r="G61" s="63"/>
      <c r="H61" s="136">
        <f t="shared" ref="H61:S61" si="16">SUM(H58:H60)</f>
        <v>2265.9032258064517</v>
      </c>
      <c r="I61" s="136">
        <f t="shared" si="16"/>
        <v>141.65860215053763</v>
      </c>
      <c r="J61" s="136">
        <f t="shared" si="16"/>
        <v>75</v>
      </c>
      <c r="K61" s="136">
        <f t="shared" si="16"/>
        <v>2482.5700000000002</v>
      </c>
      <c r="L61" s="136">
        <f t="shared" si="16"/>
        <v>263.92250000000001</v>
      </c>
      <c r="M61" s="136">
        <f t="shared" si="16"/>
        <v>268.53250000000003</v>
      </c>
      <c r="N61" s="136">
        <f t="shared" si="16"/>
        <v>213</v>
      </c>
      <c r="O61" s="136">
        <f t="shared" si="16"/>
        <v>0</v>
      </c>
      <c r="P61" s="136">
        <f t="shared" si="16"/>
        <v>0</v>
      </c>
      <c r="Q61" s="136">
        <f t="shared" si="16"/>
        <v>0</v>
      </c>
      <c r="R61" s="136">
        <f t="shared" si="16"/>
        <v>263.92250000000001</v>
      </c>
      <c r="S61" s="136">
        <f t="shared" si="16"/>
        <v>188.66</v>
      </c>
      <c r="T61" s="157">
        <f>SUM(T58:T60)</f>
        <v>2029.9875000000002</v>
      </c>
      <c r="U61" s="137"/>
    </row>
    <row r="62" spans="1:24" x14ac:dyDescent="0.3">
      <c r="E62" s="330" t="s">
        <v>28</v>
      </c>
      <c r="F62" s="330"/>
      <c r="G62" s="330"/>
      <c r="H62" s="84"/>
      <c r="I62" s="85"/>
      <c r="J62" s="85"/>
      <c r="K62" s="86"/>
      <c r="L62" s="330" t="s">
        <v>187</v>
      </c>
      <c r="M62" s="330"/>
      <c r="N62" s="330"/>
      <c r="O62" s="330"/>
      <c r="P62" s="330"/>
      <c r="Q62" s="330"/>
    </row>
    <row r="63" spans="1:24" x14ac:dyDescent="0.3">
      <c r="E63" s="143"/>
      <c r="F63" s="143"/>
      <c r="G63" s="143"/>
      <c r="H63" s="84"/>
      <c r="I63" s="85"/>
      <c r="J63" s="85"/>
      <c r="K63" s="86"/>
      <c r="L63" s="143"/>
      <c r="M63" s="143"/>
      <c r="N63" s="143"/>
      <c r="O63" s="143"/>
      <c r="P63" s="143"/>
      <c r="Q63" s="143"/>
    </row>
    <row r="64" spans="1:24" x14ac:dyDescent="0.3">
      <c r="E64" s="145"/>
      <c r="F64" s="146"/>
      <c r="G64" s="145"/>
      <c r="H64" s="146"/>
      <c r="I64" s="85"/>
      <c r="J64" s="85"/>
      <c r="K64" s="88"/>
      <c r="L64" s="88"/>
      <c r="M64" s="88"/>
      <c r="N64" s="88"/>
      <c r="O64" s="88"/>
      <c r="P64" s="89"/>
      <c r="Q64" s="89"/>
    </row>
    <row r="65" spans="5:17" x14ac:dyDescent="0.3">
      <c r="E65" s="317" t="s">
        <v>188</v>
      </c>
      <c r="F65" s="317"/>
      <c r="G65" s="317"/>
      <c r="H65" s="317"/>
      <c r="I65" s="85"/>
      <c r="J65" s="85"/>
      <c r="K65" s="88"/>
      <c r="L65" s="331" t="s">
        <v>189</v>
      </c>
      <c r="M65" s="331"/>
      <c r="N65" s="331"/>
      <c r="O65" s="331"/>
      <c r="P65" s="331"/>
      <c r="Q65" s="331"/>
    </row>
    <row r="66" spans="5:17" x14ac:dyDescent="0.3">
      <c r="E66" s="316" t="s">
        <v>238</v>
      </c>
      <c r="F66" s="316"/>
      <c r="G66" s="316"/>
      <c r="H66" s="316"/>
      <c r="L66" s="316" t="s">
        <v>237</v>
      </c>
      <c r="M66" s="316"/>
      <c r="N66" s="316"/>
      <c r="O66" s="316"/>
      <c r="P66" s="316"/>
      <c r="Q66" s="316"/>
    </row>
  </sheetData>
  <mergeCells count="27">
    <mergeCell ref="E66:H66"/>
    <mergeCell ref="L66:Q66"/>
    <mergeCell ref="E42:H42"/>
    <mergeCell ref="L42:Q42"/>
    <mergeCell ref="E43:H43"/>
    <mergeCell ref="L43:Q43"/>
    <mergeCell ref="A51:U55"/>
    <mergeCell ref="A56:U56"/>
    <mergeCell ref="A61:E61"/>
    <mergeCell ref="E62:G62"/>
    <mergeCell ref="L62:Q62"/>
    <mergeCell ref="E65:H65"/>
    <mergeCell ref="L65:Q65"/>
    <mergeCell ref="E39:G39"/>
    <mergeCell ref="L39:Q39"/>
    <mergeCell ref="A1:U5"/>
    <mergeCell ref="A6:U6"/>
    <mergeCell ref="A14:E14"/>
    <mergeCell ref="E16:G16"/>
    <mergeCell ref="L16:Q16"/>
    <mergeCell ref="E19:H19"/>
    <mergeCell ref="L19:Q19"/>
    <mergeCell ref="E20:H20"/>
    <mergeCell ref="L20:Q20"/>
    <mergeCell ref="A22:U26"/>
    <mergeCell ref="A27:U27"/>
    <mergeCell ref="A36:E36"/>
  </mergeCells>
  <pageMargins left="0.7" right="0.7" top="0.75" bottom="0.75" header="0.3" footer="0.3"/>
  <pageSetup scale="50" orientation="landscape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G11"/>
  <sheetViews>
    <sheetView workbookViewId="0">
      <selection activeCell="E22" sqref="E22"/>
    </sheetView>
  </sheetViews>
  <sheetFormatPr baseColWidth="10" defaultRowHeight="14.4" x14ac:dyDescent="0.3"/>
  <cols>
    <col min="4" max="4" width="17.33203125" bestFit="1" customWidth="1"/>
  </cols>
  <sheetData>
    <row r="4" spans="4:7" x14ac:dyDescent="0.3">
      <c r="E4" t="s">
        <v>119</v>
      </c>
      <c r="F4" t="s">
        <v>120</v>
      </c>
      <c r="G4" t="s">
        <v>262</v>
      </c>
    </row>
    <row r="5" spans="4:7" x14ac:dyDescent="0.3">
      <c r="D5" t="s">
        <v>256</v>
      </c>
      <c r="E5">
        <v>13623.08</v>
      </c>
      <c r="F5">
        <v>13800</v>
      </c>
      <c r="G5">
        <f t="shared" ref="G5:G10" si="0">E5-F5</f>
        <v>-176.92000000000007</v>
      </c>
    </row>
    <row r="6" spans="4:7" x14ac:dyDescent="0.3">
      <c r="D6" t="s">
        <v>257</v>
      </c>
      <c r="E6">
        <v>19897.53</v>
      </c>
      <c r="F6">
        <v>20082.25</v>
      </c>
      <c r="G6">
        <f t="shared" si="0"/>
        <v>-184.72000000000116</v>
      </c>
    </row>
    <row r="7" spans="4:7" x14ac:dyDescent="0.3">
      <c r="D7" t="s">
        <v>258</v>
      </c>
      <c r="E7">
        <v>422019.8</v>
      </c>
      <c r="F7">
        <v>428867.77</v>
      </c>
      <c r="G7">
        <f t="shared" si="0"/>
        <v>-6847.9700000000303</v>
      </c>
    </row>
    <row r="8" spans="4:7" x14ac:dyDescent="0.3">
      <c r="D8" t="s">
        <v>259</v>
      </c>
      <c r="E8">
        <v>11873.3</v>
      </c>
      <c r="F8">
        <v>12962.76</v>
      </c>
      <c r="G8">
        <f t="shared" si="0"/>
        <v>-1089.4600000000009</v>
      </c>
    </row>
    <row r="9" spans="4:7" x14ac:dyDescent="0.3">
      <c r="D9" t="s">
        <v>260</v>
      </c>
      <c r="E9">
        <v>532.11</v>
      </c>
      <c r="F9">
        <v>541.65</v>
      </c>
      <c r="G9">
        <f t="shared" si="0"/>
        <v>-9.5399999999999636</v>
      </c>
    </row>
    <row r="10" spans="4:7" x14ac:dyDescent="0.3">
      <c r="D10" t="s">
        <v>261</v>
      </c>
      <c r="E10">
        <v>22890.639999999999</v>
      </c>
      <c r="F10">
        <v>23147.21</v>
      </c>
      <c r="G10">
        <f t="shared" si="0"/>
        <v>-256.56999999999971</v>
      </c>
    </row>
    <row r="11" spans="4:7" x14ac:dyDescent="0.3">
      <c r="G11">
        <f>SUM(G5:G10)</f>
        <v>-8565.180000000033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71"/>
  <sheetViews>
    <sheetView topLeftCell="A49" zoomScale="85" zoomScaleNormal="85" workbookViewId="0">
      <selection activeCell="U68" sqref="U68"/>
    </sheetView>
  </sheetViews>
  <sheetFormatPr baseColWidth="10" defaultRowHeight="15.6" outlineLevelCol="1" x14ac:dyDescent="0.3"/>
  <cols>
    <col min="1" max="1" width="6.77734375" customWidth="1"/>
    <col min="2" max="2" width="7.33203125" customWidth="1"/>
    <col min="3" max="3" width="12.77734375" bestFit="1" customWidth="1"/>
    <col min="4" max="4" width="33.33203125" customWidth="1"/>
    <col min="5" max="5" width="18.109375" customWidth="1"/>
    <col min="6" max="6" width="10.44140625" customWidth="1"/>
    <col min="7" max="7" width="7.77734375" customWidth="1" outlineLevel="1"/>
    <col min="8" max="8" width="9.33203125" customWidth="1" outlineLevel="1"/>
    <col min="9" max="9" width="9" customWidth="1" outlineLevel="1"/>
    <col min="10" max="10" width="8.33203125" customWidth="1" outlineLevel="1"/>
    <col min="11" max="11" width="9.77734375" customWidth="1" outlineLevel="1"/>
    <col min="12" max="12" width="9.88671875" customWidth="1" outlineLevel="1"/>
    <col min="13" max="13" width="10.109375" customWidth="1" outlineLevel="1"/>
    <col min="14" max="14" width="7" customWidth="1" outlineLevel="1"/>
    <col min="15" max="15" width="6.77734375" customWidth="1" outlineLevel="1"/>
    <col min="16" max="16" width="7.6640625" customWidth="1" outlineLevel="1"/>
    <col min="17" max="17" width="7.77734375" customWidth="1" outlineLevel="1"/>
    <col min="18" max="18" width="8" customWidth="1"/>
    <col min="21" max="21" width="24" customWidth="1"/>
    <col min="22" max="22" width="15.5546875" style="123" customWidth="1"/>
    <col min="23" max="23" width="18.33203125" style="126" customWidth="1"/>
    <col min="24" max="24" width="13.88671875" customWidth="1"/>
    <col min="25" max="25" width="10" customWidth="1"/>
  </cols>
  <sheetData>
    <row r="1" spans="1:24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/>
    </row>
    <row r="2" spans="1:24" x14ac:dyDescent="0.3">
      <c r="A2" s="307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9"/>
    </row>
    <row r="3" spans="1:24" x14ac:dyDescent="0.3">
      <c r="A3" s="307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9"/>
    </row>
    <row r="4" spans="1:24" x14ac:dyDescent="0.3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9"/>
    </row>
    <row r="5" spans="1:24" ht="16.2" thickBot="1" x14ac:dyDescent="0.35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2"/>
    </row>
    <row r="6" spans="1:24" ht="18.600000000000001" thickBot="1" x14ac:dyDescent="0.4">
      <c r="A6" s="318" t="s">
        <v>251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1:24" ht="55.2" customHeight="1" x14ac:dyDescent="0.3">
      <c r="A7" s="116" t="s">
        <v>143</v>
      </c>
      <c r="B7" s="117" t="s">
        <v>144</v>
      </c>
      <c r="C7" s="117" t="s">
        <v>145</v>
      </c>
      <c r="D7" s="117" t="s">
        <v>146</v>
      </c>
      <c r="E7" s="117" t="s">
        <v>147</v>
      </c>
      <c r="F7" s="117" t="s">
        <v>148</v>
      </c>
      <c r="G7" s="117" t="s">
        <v>177</v>
      </c>
      <c r="H7" s="117" t="s">
        <v>174</v>
      </c>
      <c r="I7" s="117" t="s">
        <v>149</v>
      </c>
      <c r="J7" s="117" t="s">
        <v>150</v>
      </c>
      <c r="K7" s="117" t="s">
        <v>152</v>
      </c>
      <c r="L7" s="117" t="s">
        <v>186</v>
      </c>
      <c r="M7" s="117" t="s">
        <v>154</v>
      </c>
      <c r="N7" s="117" t="s">
        <v>155</v>
      </c>
      <c r="O7" s="117" t="s">
        <v>156</v>
      </c>
      <c r="P7" s="117" t="s">
        <v>157</v>
      </c>
      <c r="Q7" s="117" t="s">
        <v>158</v>
      </c>
      <c r="R7" s="117" t="s">
        <v>159</v>
      </c>
      <c r="S7" s="117" t="s">
        <v>160</v>
      </c>
      <c r="T7" s="117" t="s">
        <v>13</v>
      </c>
      <c r="U7" s="118" t="s">
        <v>161</v>
      </c>
      <c r="V7" s="129" t="s">
        <v>220</v>
      </c>
      <c r="W7" s="130" t="s">
        <v>229</v>
      </c>
      <c r="X7" s="127" t="s">
        <v>219</v>
      </c>
    </row>
    <row r="8" spans="1:24" ht="28.8" customHeight="1" x14ac:dyDescent="0.3">
      <c r="A8" s="71" t="s">
        <v>120</v>
      </c>
      <c r="B8" s="71">
        <v>2023</v>
      </c>
      <c r="C8" s="94">
        <v>1500721202</v>
      </c>
      <c r="D8" s="64" t="s">
        <v>163</v>
      </c>
      <c r="E8" s="65" t="s">
        <v>15</v>
      </c>
      <c r="F8" s="63">
        <v>1340</v>
      </c>
      <c r="G8" s="63">
        <v>30</v>
      </c>
      <c r="H8" s="72">
        <f t="shared" ref="H8:H13" si="0">ROUND(F8/30*G8,2)</f>
        <v>1340</v>
      </c>
      <c r="I8" s="72"/>
      <c r="J8" s="63"/>
      <c r="K8" s="119">
        <f t="shared" ref="K8:K13" si="1">ROUND(H8+I8+J8,2)</f>
        <v>1340</v>
      </c>
      <c r="L8" s="83">
        <f t="shared" ref="L8:L13" si="2">ROUND(H8*11.45%,2)</f>
        <v>153.43</v>
      </c>
      <c r="M8" s="83">
        <f t="shared" ref="M8:M13" si="3">ROUND(H8*11.65%,2)</f>
        <v>156.11000000000001</v>
      </c>
      <c r="N8" s="63">
        <v>51</v>
      </c>
      <c r="O8" s="63"/>
      <c r="P8" s="63"/>
      <c r="Q8" s="63"/>
      <c r="R8" s="120">
        <f t="shared" ref="R8:R13" si="4">L8+O8+P8+Q8</f>
        <v>153.43</v>
      </c>
      <c r="S8" s="147">
        <f>1340*2/7</f>
        <v>382.85714285714283</v>
      </c>
      <c r="T8" s="140">
        <f t="shared" ref="T8:T13" si="5">+K8-R8-S8</f>
        <v>803.71285714285705</v>
      </c>
      <c r="U8" s="63"/>
      <c r="V8" s="123" t="s">
        <v>207</v>
      </c>
      <c r="W8" s="126" t="s">
        <v>206</v>
      </c>
      <c r="X8">
        <v>1700511</v>
      </c>
    </row>
    <row r="9" spans="1:24" ht="28.8" customHeight="1" x14ac:dyDescent="0.3">
      <c r="A9" s="71" t="s">
        <v>120</v>
      </c>
      <c r="B9" s="71">
        <v>2023</v>
      </c>
      <c r="C9" s="95" t="s">
        <v>198</v>
      </c>
      <c r="D9" s="66" t="s">
        <v>164</v>
      </c>
      <c r="E9" s="65" t="s">
        <v>169</v>
      </c>
      <c r="F9" s="63">
        <v>536</v>
      </c>
      <c r="G9" s="63">
        <v>30</v>
      </c>
      <c r="H9" s="72">
        <f t="shared" si="0"/>
        <v>536</v>
      </c>
      <c r="I9" s="72"/>
      <c r="J9" s="63"/>
      <c r="K9" s="119">
        <f t="shared" si="1"/>
        <v>536</v>
      </c>
      <c r="L9" s="83">
        <f t="shared" si="2"/>
        <v>61.37</v>
      </c>
      <c r="M9" s="83">
        <f t="shared" si="3"/>
        <v>62.44</v>
      </c>
      <c r="N9" s="63">
        <v>51</v>
      </c>
      <c r="O9" s="63"/>
      <c r="P9" s="72">
        <v>153</v>
      </c>
      <c r="Q9" s="63"/>
      <c r="R9" s="120">
        <f t="shared" si="4"/>
        <v>214.37</v>
      </c>
      <c r="S9" s="72"/>
      <c r="T9" s="140">
        <f t="shared" si="5"/>
        <v>321.63</v>
      </c>
      <c r="U9" s="63"/>
      <c r="V9" s="123" t="s">
        <v>211</v>
      </c>
      <c r="W9" s="126" t="s">
        <v>205</v>
      </c>
      <c r="X9">
        <v>1410036</v>
      </c>
    </row>
    <row r="10" spans="1:24" ht="28.8" customHeight="1" x14ac:dyDescent="0.3">
      <c r="A10" s="71" t="s">
        <v>120</v>
      </c>
      <c r="B10" s="71">
        <v>2023</v>
      </c>
      <c r="C10" s="95" t="s">
        <v>199</v>
      </c>
      <c r="D10" s="64" t="s">
        <v>165</v>
      </c>
      <c r="E10" s="65" t="s">
        <v>170</v>
      </c>
      <c r="F10" s="63">
        <v>536</v>
      </c>
      <c r="G10" s="63">
        <v>30</v>
      </c>
      <c r="H10" s="72">
        <f t="shared" si="0"/>
        <v>536</v>
      </c>
      <c r="I10" s="72"/>
      <c r="J10" s="63"/>
      <c r="K10" s="119">
        <f t="shared" si="1"/>
        <v>536</v>
      </c>
      <c r="L10" s="83">
        <f t="shared" si="2"/>
        <v>61.37</v>
      </c>
      <c r="M10" s="83">
        <f t="shared" si="3"/>
        <v>62.44</v>
      </c>
      <c r="N10" s="63">
        <v>51</v>
      </c>
      <c r="O10" s="63"/>
      <c r="P10" s="63">
        <v>78.349999999999994</v>
      </c>
      <c r="Q10" s="63"/>
      <c r="R10" s="120">
        <f t="shared" si="4"/>
        <v>139.72</v>
      </c>
      <c r="S10" s="63">
        <f>536*3/6</f>
        <v>268</v>
      </c>
      <c r="T10" s="140">
        <f t="shared" si="5"/>
        <v>128.27999999999997</v>
      </c>
      <c r="U10" s="63"/>
      <c r="V10" s="123" t="s">
        <v>210</v>
      </c>
      <c r="W10" s="126" t="s">
        <v>205</v>
      </c>
      <c r="X10">
        <v>1410036</v>
      </c>
    </row>
    <row r="11" spans="1:24" ht="28.8" customHeight="1" x14ac:dyDescent="0.3">
      <c r="A11" s="71" t="s">
        <v>120</v>
      </c>
      <c r="B11" s="71">
        <v>2023</v>
      </c>
      <c r="C11" s="96">
        <v>1500367295</v>
      </c>
      <c r="D11" s="64" t="s">
        <v>166</v>
      </c>
      <c r="E11" s="65" t="s">
        <v>171</v>
      </c>
      <c r="F11" s="63">
        <v>536</v>
      </c>
      <c r="G11" s="63">
        <v>30</v>
      </c>
      <c r="H11" s="72">
        <f t="shared" si="0"/>
        <v>536</v>
      </c>
      <c r="I11" s="72"/>
      <c r="J11" s="63"/>
      <c r="K11" s="119">
        <f t="shared" si="1"/>
        <v>536</v>
      </c>
      <c r="L11" s="83">
        <f t="shared" si="2"/>
        <v>61.37</v>
      </c>
      <c r="M11" s="83">
        <f t="shared" si="3"/>
        <v>62.44</v>
      </c>
      <c r="N11" s="63">
        <v>51</v>
      </c>
      <c r="O11" s="63"/>
      <c r="P11" s="63">
        <v>85</v>
      </c>
      <c r="Q11" s="63"/>
      <c r="R11" s="120">
        <f t="shared" si="4"/>
        <v>146.37</v>
      </c>
      <c r="S11" s="63">
        <f>536*3/6</f>
        <v>268</v>
      </c>
      <c r="T11" s="140">
        <f t="shared" si="5"/>
        <v>121.63</v>
      </c>
      <c r="U11" s="63"/>
      <c r="V11" s="123">
        <v>4005110329</v>
      </c>
      <c r="W11" s="126" t="s">
        <v>205</v>
      </c>
      <c r="X11">
        <v>1410036</v>
      </c>
    </row>
    <row r="12" spans="1:24" ht="28.8" customHeight="1" x14ac:dyDescent="0.3">
      <c r="A12" s="71" t="s">
        <v>120</v>
      </c>
      <c r="B12" s="71">
        <v>2023</v>
      </c>
      <c r="C12" s="97">
        <v>1500814940</v>
      </c>
      <c r="D12" s="66" t="s">
        <v>167</v>
      </c>
      <c r="E12" s="65" t="s">
        <v>172</v>
      </c>
      <c r="F12" s="63">
        <v>536</v>
      </c>
      <c r="G12" s="63">
        <v>30</v>
      </c>
      <c r="H12" s="72">
        <f t="shared" si="0"/>
        <v>536</v>
      </c>
      <c r="I12" s="72"/>
      <c r="J12" s="63"/>
      <c r="K12" s="119">
        <f t="shared" si="1"/>
        <v>536</v>
      </c>
      <c r="L12" s="83">
        <f t="shared" si="2"/>
        <v>61.37</v>
      </c>
      <c r="M12" s="83">
        <f t="shared" si="3"/>
        <v>62.44</v>
      </c>
      <c r="N12" s="63">
        <v>51</v>
      </c>
      <c r="O12" s="63"/>
      <c r="P12" s="63">
        <v>72.349999999999994</v>
      </c>
      <c r="Q12" s="63"/>
      <c r="R12" s="120">
        <f t="shared" si="4"/>
        <v>133.72</v>
      </c>
      <c r="S12" s="72">
        <f>536*3/7</f>
        <v>229.71428571428572</v>
      </c>
      <c r="T12" s="140">
        <f t="shared" si="5"/>
        <v>172.56571428571425</v>
      </c>
      <c r="U12" s="63"/>
      <c r="V12" s="123" t="s">
        <v>286</v>
      </c>
      <c r="W12" s="126" t="s">
        <v>209</v>
      </c>
      <c r="X12">
        <v>1600022</v>
      </c>
    </row>
    <row r="13" spans="1:24" ht="28.8" customHeight="1" x14ac:dyDescent="0.3">
      <c r="A13" s="71" t="s">
        <v>120</v>
      </c>
      <c r="B13" s="71">
        <v>2023</v>
      </c>
      <c r="C13" s="98" t="s">
        <v>200</v>
      </c>
      <c r="D13" s="67" t="s">
        <v>168</v>
      </c>
      <c r="E13" s="68" t="s">
        <v>173</v>
      </c>
      <c r="F13" s="63">
        <v>733</v>
      </c>
      <c r="G13" s="63">
        <v>30</v>
      </c>
      <c r="H13" s="72">
        <f t="shared" si="0"/>
        <v>733</v>
      </c>
      <c r="I13" s="72"/>
      <c r="J13" s="63"/>
      <c r="K13" s="119">
        <f t="shared" si="1"/>
        <v>733</v>
      </c>
      <c r="L13" s="120">
        <f t="shared" si="2"/>
        <v>83.93</v>
      </c>
      <c r="M13" s="83">
        <f t="shared" si="3"/>
        <v>85.39</v>
      </c>
      <c r="N13" s="63">
        <v>51</v>
      </c>
      <c r="O13" s="63"/>
      <c r="P13" s="63">
        <v>9.99</v>
      </c>
      <c r="Q13" s="63"/>
      <c r="R13" s="120">
        <f t="shared" si="4"/>
        <v>93.92</v>
      </c>
      <c r="S13" s="63"/>
      <c r="T13" s="140">
        <f t="shared" si="5"/>
        <v>639.08000000000004</v>
      </c>
      <c r="U13" s="63"/>
      <c r="V13" s="123" t="s">
        <v>208</v>
      </c>
      <c r="W13" s="126" t="s">
        <v>209</v>
      </c>
      <c r="X13">
        <v>1600022</v>
      </c>
    </row>
    <row r="14" spans="1:24" ht="28.8" customHeight="1" x14ac:dyDescent="0.3">
      <c r="A14" s="327" t="s">
        <v>185</v>
      </c>
      <c r="B14" s="328"/>
      <c r="C14" s="328"/>
      <c r="D14" s="328"/>
      <c r="E14" s="329"/>
      <c r="F14" s="149">
        <f>SUM(F8:F13)</f>
        <v>4217</v>
      </c>
      <c r="G14" s="149">
        <f t="shared" ref="G14:S14" si="6">SUM(G8:G13)</f>
        <v>180</v>
      </c>
      <c r="H14" s="149">
        <f t="shared" si="6"/>
        <v>4217</v>
      </c>
      <c r="I14" s="149">
        <f t="shared" si="6"/>
        <v>0</v>
      </c>
      <c r="J14" s="149">
        <f t="shared" si="6"/>
        <v>0</v>
      </c>
      <c r="K14" s="149">
        <f t="shared" si="6"/>
        <v>4217</v>
      </c>
      <c r="L14" s="149">
        <f>SUM(L8:L13)</f>
        <v>482.84000000000003</v>
      </c>
      <c r="M14" s="149">
        <f>SUM(M8:M13)</f>
        <v>491.26</v>
      </c>
      <c r="N14" s="149">
        <f t="shared" si="6"/>
        <v>306</v>
      </c>
      <c r="O14" s="149">
        <f t="shared" si="6"/>
        <v>0</v>
      </c>
      <c r="P14" s="149">
        <f t="shared" si="6"/>
        <v>398.69000000000005</v>
      </c>
      <c r="Q14" s="149">
        <f t="shared" si="6"/>
        <v>0</v>
      </c>
      <c r="R14" s="150">
        <f t="shared" si="6"/>
        <v>881.53</v>
      </c>
      <c r="S14" s="149">
        <f t="shared" si="6"/>
        <v>1148.5714285714287</v>
      </c>
      <c r="T14" s="155">
        <f>SUM(T8:T13)</f>
        <v>2186.8985714285714</v>
      </c>
      <c r="U14" s="93"/>
    </row>
    <row r="15" spans="1:24" x14ac:dyDescent="0.3">
      <c r="A15" s="69"/>
      <c r="B15" s="69"/>
      <c r="C15" s="80"/>
      <c r="D15" s="81"/>
      <c r="E15" s="82"/>
      <c r="F15" s="2"/>
      <c r="G15" s="2"/>
      <c r="H15" s="70"/>
      <c r="I15" s="2"/>
      <c r="J15" s="2"/>
      <c r="K15" s="2"/>
      <c r="L15" s="159">
        <f>H12*11.45%</f>
        <v>61.371999999999993</v>
      </c>
      <c r="M15" s="2"/>
      <c r="N15" s="2"/>
      <c r="O15" s="2"/>
      <c r="P15" s="2"/>
      <c r="Q15" s="2"/>
      <c r="R15" s="2"/>
      <c r="S15" s="2"/>
      <c r="T15" s="2"/>
      <c r="U15" s="2"/>
      <c r="W15" s="148">
        <f>T14+T36+T61</f>
        <v>6553.7915952380954</v>
      </c>
    </row>
    <row r="16" spans="1:24" x14ac:dyDescent="0.3">
      <c r="A16" s="69"/>
      <c r="B16" s="69"/>
      <c r="C16" s="80"/>
      <c r="D16" s="81"/>
      <c r="E16" s="330" t="s">
        <v>28</v>
      </c>
      <c r="F16" s="330"/>
      <c r="G16" s="330"/>
      <c r="H16" s="84"/>
      <c r="I16" s="85"/>
      <c r="J16" s="85"/>
      <c r="K16" s="86"/>
      <c r="L16" s="330" t="s">
        <v>187</v>
      </c>
      <c r="M16" s="330"/>
      <c r="N16" s="330"/>
      <c r="O16" s="330"/>
      <c r="P16" s="330"/>
      <c r="Q16" s="330"/>
      <c r="R16" s="2"/>
      <c r="S16" s="2"/>
      <c r="T16" s="2"/>
      <c r="U16" s="2"/>
    </row>
    <row r="17" spans="1:24" x14ac:dyDescent="0.3">
      <c r="A17" s="69"/>
      <c r="B17" s="69"/>
      <c r="C17" s="80"/>
      <c r="D17" s="81"/>
      <c r="E17" s="161"/>
      <c r="F17" s="161"/>
      <c r="G17" s="161"/>
      <c r="H17" s="84"/>
      <c r="I17" s="85"/>
      <c r="J17" s="85"/>
      <c r="K17" s="86"/>
      <c r="L17" s="161"/>
      <c r="M17" s="161"/>
      <c r="N17" s="161"/>
      <c r="O17" s="161"/>
      <c r="P17" s="161"/>
      <c r="Q17" s="161"/>
      <c r="R17" s="2"/>
      <c r="S17" s="2"/>
      <c r="T17" s="2"/>
      <c r="U17" s="2"/>
    </row>
    <row r="18" spans="1:24" x14ac:dyDescent="0.3">
      <c r="E18" s="145"/>
      <c r="F18" s="146"/>
      <c r="G18" s="145"/>
      <c r="H18" s="146"/>
      <c r="I18" s="85"/>
      <c r="J18" s="85"/>
      <c r="K18" s="88"/>
      <c r="L18" s="88"/>
      <c r="M18" s="88"/>
      <c r="N18" s="88"/>
      <c r="O18" s="88"/>
      <c r="P18" s="89"/>
      <c r="Q18" s="89"/>
    </row>
    <row r="19" spans="1:24" x14ac:dyDescent="0.3">
      <c r="E19" s="317" t="s">
        <v>188</v>
      </c>
      <c r="F19" s="317"/>
      <c r="G19" s="317"/>
      <c r="H19" s="317"/>
      <c r="I19" s="85"/>
      <c r="J19" s="85"/>
      <c r="K19" s="88"/>
      <c r="L19" s="331" t="s">
        <v>189</v>
      </c>
      <c r="M19" s="331"/>
      <c r="N19" s="331"/>
      <c r="O19" s="331"/>
      <c r="P19" s="331"/>
      <c r="Q19" s="331"/>
    </row>
    <row r="20" spans="1:24" x14ac:dyDescent="0.3">
      <c r="E20" s="316" t="s">
        <v>238</v>
      </c>
      <c r="F20" s="316"/>
      <c r="G20" s="316"/>
      <c r="H20" s="316"/>
      <c r="L20" s="316" t="s">
        <v>237</v>
      </c>
      <c r="M20" s="316"/>
      <c r="N20" s="316"/>
      <c r="O20" s="316"/>
      <c r="P20" s="316"/>
      <c r="Q20" s="316"/>
    </row>
    <row r="21" spans="1:24" ht="16.2" thickBot="1" x14ac:dyDescent="0.35">
      <c r="E21" s="160"/>
      <c r="F21" s="160"/>
      <c r="G21" s="160"/>
      <c r="H21" s="84"/>
      <c r="I21" s="85"/>
      <c r="J21" s="85"/>
      <c r="K21" s="88"/>
      <c r="L21" s="160"/>
      <c r="M21" s="160"/>
      <c r="N21" s="160"/>
      <c r="O21" s="160"/>
      <c r="P21" s="160"/>
      <c r="Q21" s="160"/>
    </row>
    <row r="22" spans="1:24" ht="25.2" customHeight="1" x14ac:dyDescent="0.3">
      <c r="A22" s="294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6"/>
    </row>
    <row r="23" spans="1:24" x14ac:dyDescent="0.3">
      <c r="A23" s="307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9"/>
    </row>
    <row r="24" spans="1:24" x14ac:dyDescent="0.3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9"/>
    </row>
    <row r="25" spans="1:24" x14ac:dyDescent="0.3">
      <c r="A25" s="307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9"/>
    </row>
    <row r="26" spans="1:24" ht="16.2" thickBot="1" x14ac:dyDescent="0.35">
      <c r="A26" s="307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9"/>
    </row>
    <row r="27" spans="1:24" ht="18.600000000000001" thickBot="1" x14ac:dyDescent="0.4">
      <c r="A27" s="321" t="s">
        <v>252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3"/>
    </row>
    <row r="28" spans="1:24" ht="57.6" x14ac:dyDescent="0.3">
      <c r="A28" s="108" t="s">
        <v>143</v>
      </c>
      <c r="B28" s="109" t="s">
        <v>144</v>
      </c>
      <c r="C28" s="109" t="s">
        <v>145</v>
      </c>
      <c r="D28" s="109" t="s">
        <v>146</v>
      </c>
      <c r="E28" s="109" t="s">
        <v>147</v>
      </c>
      <c r="F28" s="109" t="s">
        <v>148</v>
      </c>
      <c r="G28" s="109" t="s">
        <v>151</v>
      </c>
      <c r="H28" s="109" t="s">
        <v>174</v>
      </c>
      <c r="I28" s="109" t="s">
        <v>149</v>
      </c>
      <c r="J28" s="109" t="s">
        <v>150</v>
      </c>
      <c r="K28" s="109" t="s">
        <v>152</v>
      </c>
      <c r="L28" s="109" t="s">
        <v>153</v>
      </c>
      <c r="M28" s="109" t="s">
        <v>197</v>
      </c>
      <c r="N28" s="109" t="s">
        <v>155</v>
      </c>
      <c r="O28" s="109" t="s">
        <v>156</v>
      </c>
      <c r="P28" s="109" t="s">
        <v>157</v>
      </c>
      <c r="Q28" s="109" t="s">
        <v>158</v>
      </c>
      <c r="R28" s="109" t="s">
        <v>159</v>
      </c>
      <c r="S28" s="109" t="s">
        <v>160</v>
      </c>
      <c r="T28" s="109" t="s">
        <v>13</v>
      </c>
      <c r="U28" s="115" t="s">
        <v>161</v>
      </c>
      <c r="V28" s="131" t="s">
        <v>220</v>
      </c>
      <c r="W28" s="132" t="s">
        <v>229</v>
      </c>
      <c r="X28" s="133" t="s">
        <v>219</v>
      </c>
    </row>
    <row r="29" spans="1:24" ht="31.2" customHeight="1" x14ac:dyDescent="0.3">
      <c r="A29" s="71" t="s">
        <v>120</v>
      </c>
      <c r="B29" s="71">
        <v>2023</v>
      </c>
      <c r="C29" s="73" t="s">
        <v>179</v>
      </c>
      <c r="D29" s="73" t="s">
        <v>178</v>
      </c>
      <c r="E29" s="73" t="s">
        <v>183</v>
      </c>
      <c r="F29" s="74">
        <v>553</v>
      </c>
      <c r="G29" s="63">
        <v>30</v>
      </c>
      <c r="H29" s="72">
        <f>F29</f>
        <v>553</v>
      </c>
      <c r="I29" s="63"/>
      <c r="J29" s="63"/>
      <c r="K29" s="75">
        <f>ROUND(H29+I29+J29,2)</f>
        <v>553</v>
      </c>
      <c r="L29" s="119">
        <f>F29*9.45%</f>
        <v>52.258499999999991</v>
      </c>
      <c r="M29" s="72">
        <f>F29*12.15%</f>
        <v>67.189499999999995</v>
      </c>
      <c r="N29" s="63">
        <v>71</v>
      </c>
      <c r="O29" s="63"/>
      <c r="P29" s="63"/>
      <c r="Q29" s="63"/>
      <c r="R29" s="72">
        <f>L29+O29+P29+Q29</f>
        <v>52.258499999999991</v>
      </c>
      <c r="S29" s="103"/>
      <c r="T29" s="141">
        <f>K29-R29-S29</f>
        <v>500.74150000000003</v>
      </c>
      <c r="U29" s="153">
        <f>S29+T29</f>
        <v>500.74150000000003</v>
      </c>
      <c r="V29" s="123" t="s">
        <v>254</v>
      </c>
      <c r="W29" s="126" t="s">
        <v>209</v>
      </c>
      <c r="X29">
        <v>1600022</v>
      </c>
    </row>
    <row r="30" spans="1:24" ht="31.2" customHeight="1" x14ac:dyDescent="0.3">
      <c r="A30" s="71" t="s">
        <v>120</v>
      </c>
      <c r="B30" s="71">
        <v>2023</v>
      </c>
      <c r="C30" s="73" t="s">
        <v>77</v>
      </c>
      <c r="D30" s="73" t="s">
        <v>73</v>
      </c>
      <c r="E30" s="73" t="s">
        <v>74</v>
      </c>
      <c r="F30" s="74">
        <v>708</v>
      </c>
      <c r="G30" s="63">
        <v>30</v>
      </c>
      <c r="H30" s="72">
        <f t="shared" ref="H30:H35" si="7">F30</f>
        <v>708</v>
      </c>
      <c r="I30" s="63"/>
      <c r="J30" s="63"/>
      <c r="K30" s="75">
        <f t="shared" ref="K30:K35" si="8">ROUND(H30+I30+J30,2)</f>
        <v>708</v>
      </c>
      <c r="L30" s="72">
        <f t="shared" ref="L30:L35" si="9">F30*9.45%</f>
        <v>66.905999999999992</v>
      </c>
      <c r="M30" s="72">
        <f t="shared" ref="M30:M35" si="10">F30*12.15%</f>
        <v>86.021999999999991</v>
      </c>
      <c r="N30" s="63">
        <v>71</v>
      </c>
      <c r="O30" s="102"/>
      <c r="P30" s="102"/>
      <c r="Q30" s="102"/>
      <c r="R30" s="72">
        <f t="shared" ref="R30:R35" si="11">L30+O30+P30+Q30</f>
        <v>66.905999999999992</v>
      </c>
      <c r="S30" s="122">
        <f>1416/9</f>
        <v>157.33333333333334</v>
      </c>
      <c r="T30" s="141">
        <f t="shared" ref="T30:T35" si="12">K30-R30-S30</f>
        <v>483.76066666666668</v>
      </c>
      <c r="U30" s="153">
        <f t="shared" ref="U30:U35" si="13">S30+T30</f>
        <v>641.09400000000005</v>
      </c>
      <c r="V30" s="123" t="s">
        <v>221</v>
      </c>
      <c r="W30" s="126" t="s">
        <v>205</v>
      </c>
      <c r="X30">
        <v>1410036</v>
      </c>
    </row>
    <row r="31" spans="1:24" ht="36.6" customHeight="1" x14ac:dyDescent="0.3">
      <c r="A31" s="71" t="s">
        <v>120</v>
      </c>
      <c r="B31" s="71">
        <v>2023</v>
      </c>
      <c r="C31" s="73" t="s">
        <v>79</v>
      </c>
      <c r="D31" s="73" t="s">
        <v>78</v>
      </c>
      <c r="E31" s="73" t="s">
        <v>184</v>
      </c>
      <c r="F31" s="74">
        <v>566</v>
      </c>
      <c r="G31" s="63">
        <v>30</v>
      </c>
      <c r="H31" s="72">
        <f t="shared" si="7"/>
        <v>566</v>
      </c>
      <c r="I31" s="63"/>
      <c r="J31" s="63"/>
      <c r="K31" s="75">
        <f t="shared" si="8"/>
        <v>566</v>
      </c>
      <c r="L31" s="72">
        <f t="shared" si="9"/>
        <v>53.486999999999995</v>
      </c>
      <c r="M31" s="72">
        <f t="shared" si="10"/>
        <v>68.768999999999991</v>
      </c>
      <c r="N31" s="63">
        <v>71</v>
      </c>
      <c r="O31" s="168">
        <v>92.02</v>
      </c>
      <c r="P31" s="102"/>
      <c r="Q31" s="102"/>
      <c r="R31" s="72">
        <f t="shared" si="11"/>
        <v>145.50700000000001</v>
      </c>
      <c r="S31" s="103">
        <f>1698/6</f>
        <v>283</v>
      </c>
      <c r="T31" s="141">
        <f t="shared" si="12"/>
        <v>137.49299999999999</v>
      </c>
      <c r="U31" s="153">
        <f t="shared" si="13"/>
        <v>420.49299999999999</v>
      </c>
      <c r="V31" s="123" t="s">
        <v>228</v>
      </c>
      <c r="W31" s="126" t="s">
        <v>209</v>
      </c>
      <c r="X31">
        <v>1600022</v>
      </c>
    </row>
    <row r="32" spans="1:24" ht="31.2" customHeight="1" x14ac:dyDescent="0.3">
      <c r="A32" s="71" t="s">
        <v>120</v>
      </c>
      <c r="B32" s="71">
        <v>2023</v>
      </c>
      <c r="C32" s="73" t="s">
        <v>180</v>
      </c>
      <c r="D32" s="73" t="s">
        <v>69</v>
      </c>
      <c r="E32" s="73" t="s">
        <v>66</v>
      </c>
      <c r="F32" s="74">
        <v>584</v>
      </c>
      <c r="G32" s="63">
        <v>30</v>
      </c>
      <c r="H32" s="72">
        <f t="shared" si="7"/>
        <v>584</v>
      </c>
      <c r="I32" s="63"/>
      <c r="J32" s="63"/>
      <c r="K32" s="75">
        <f t="shared" si="8"/>
        <v>584</v>
      </c>
      <c r="L32" s="72">
        <f t="shared" si="9"/>
        <v>55.187999999999995</v>
      </c>
      <c r="M32" s="72">
        <f t="shared" si="10"/>
        <v>70.956000000000003</v>
      </c>
      <c r="N32" s="63">
        <v>71</v>
      </c>
      <c r="O32" s="168"/>
      <c r="P32" s="102"/>
      <c r="Q32" s="102">
        <v>66.069999999999993</v>
      </c>
      <c r="R32" s="72">
        <f t="shared" si="11"/>
        <v>121.25799999999998</v>
      </c>
      <c r="S32" s="103">
        <f>1752/6</f>
        <v>292</v>
      </c>
      <c r="T32" s="141">
        <f t="shared" si="12"/>
        <v>170.74200000000002</v>
      </c>
      <c r="U32" s="153">
        <f t="shared" si="13"/>
        <v>462.74200000000002</v>
      </c>
      <c r="V32" s="123" t="s">
        <v>222</v>
      </c>
      <c r="W32" s="126" t="s">
        <v>209</v>
      </c>
      <c r="X32">
        <v>1600022</v>
      </c>
    </row>
    <row r="33" spans="1:24" ht="31.2" customHeight="1" x14ac:dyDescent="0.3">
      <c r="A33" s="71" t="s">
        <v>120</v>
      </c>
      <c r="B33" s="71">
        <v>2023</v>
      </c>
      <c r="C33" s="73" t="s">
        <v>89</v>
      </c>
      <c r="D33" s="73" t="s">
        <v>88</v>
      </c>
      <c r="E33" s="73" t="s">
        <v>90</v>
      </c>
      <c r="F33" s="74">
        <v>527</v>
      </c>
      <c r="G33" s="63">
        <v>30</v>
      </c>
      <c r="H33" s="72">
        <f t="shared" si="7"/>
        <v>527</v>
      </c>
      <c r="I33" s="63"/>
      <c r="J33" s="63"/>
      <c r="K33" s="75">
        <f t="shared" si="8"/>
        <v>527</v>
      </c>
      <c r="L33" s="72">
        <f t="shared" si="9"/>
        <v>49.80149999999999</v>
      </c>
      <c r="M33" s="72">
        <f t="shared" si="10"/>
        <v>64.030500000000004</v>
      </c>
      <c r="N33" s="63">
        <v>71</v>
      </c>
      <c r="O33" s="102"/>
      <c r="P33" s="102"/>
      <c r="Q33" s="102"/>
      <c r="R33" s="72">
        <f t="shared" si="11"/>
        <v>49.80149999999999</v>
      </c>
      <c r="S33" s="122">
        <f>1581/7</f>
        <v>225.85714285714286</v>
      </c>
      <c r="T33" s="141">
        <f t="shared" si="12"/>
        <v>251.34135714285716</v>
      </c>
      <c r="U33" s="153">
        <f t="shared" si="13"/>
        <v>477.19850000000002</v>
      </c>
      <c r="V33" s="123" t="s">
        <v>218</v>
      </c>
      <c r="W33" s="126" t="s">
        <v>205</v>
      </c>
      <c r="X33">
        <v>1410036</v>
      </c>
    </row>
    <row r="34" spans="1:24" ht="31.2" customHeight="1" x14ac:dyDescent="0.3">
      <c r="A34" s="71" t="s">
        <v>120</v>
      </c>
      <c r="B34" s="71">
        <v>2023</v>
      </c>
      <c r="C34" s="73" t="s">
        <v>181</v>
      </c>
      <c r="D34" s="73" t="s">
        <v>95</v>
      </c>
      <c r="E34" s="73" t="s">
        <v>87</v>
      </c>
      <c r="F34" s="74">
        <v>500</v>
      </c>
      <c r="G34" s="63">
        <v>30</v>
      </c>
      <c r="H34" s="72">
        <f t="shared" si="7"/>
        <v>500</v>
      </c>
      <c r="I34" s="63"/>
      <c r="J34" s="63"/>
      <c r="K34" s="75">
        <f t="shared" si="8"/>
        <v>500</v>
      </c>
      <c r="L34" s="72">
        <f t="shared" si="9"/>
        <v>47.249999999999993</v>
      </c>
      <c r="M34" s="72">
        <f t="shared" si="10"/>
        <v>60.75</v>
      </c>
      <c r="N34" s="63">
        <v>71</v>
      </c>
      <c r="O34" s="168">
        <v>46.1</v>
      </c>
      <c r="P34" s="102"/>
      <c r="Q34" s="102"/>
      <c r="R34" s="72">
        <f t="shared" si="11"/>
        <v>93.35</v>
      </c>
      <c r="S34" s="168"/>
      <c r="T34" s="141">
        <f>K34-R34-S34</f>
        <v>406.65</v>
      </c>
      <c r="U34" s="153">
        <f t="shared" si="13"/>
        <v>406.65</v>
      </c>
      <c r="V34" s="123" t="s">
        <v>216</v>
      </c>
      <c r="W34" s="126" t="s">
        <v>217</v>
      </c>
      <c r="X34">
        <v>1700427</v>
      </c>
    </row>
    <row r="35" spans="1:24" ht="31.2" customHeight="1" x14ac:dyDescent="0.3">
      <c r="A35" s="71" t="s">
        <v>120</v>
      </c>
      <c r="B35" s="71">
        <v>2023</v>
      </c>
      <c r="C35" s="73" t="s">
        <v>182</v>
      </c>
      <c r="D35" s="73" t="s">
        <v>65</v>
      </c>
      <c r="E35" s="73" t="s">
        <v>66</v>
      </c>
      <c r="F35" s="76">
        <v>614</v>
      </c>
      <c r="G35" s="63">
        <v>30</v>
      </c>
      <c r="H35" s="72">
        <f t="shared" si="7"/>
        <v>614</v>
      </c>
      <c r="I35" s="77"/>
      <c r="J35" s="77"/>
      <c r="K35" s="75">
        <f t="shared" si="8"/>
        <v>614</v>
      </c>
      <c r="L35" s="72">
        <f t="shared" si="9"/>
        <v>58.022999999999989</v>
      </c>
      <c r="M35" s="72">
        <f t="shared" si="10"/>
        <v>74.600999999999999</v>
      </c>
      <c r="N35" s="77">
        <v>71</v>
      </c>
      <c r="O35" s="77"/>
      <c r="P35" s="77"/>
      <c r="Q35" s="77"/>
      <c r="R35" s="78">
        <f t="shared" si="11"/>
        <v>58.022999999999989</v>
      </c>
      <c r="S35" s="162">
        <f>1698/10</f>
        <v>169.8</v>
      </c>
      <c r="T35" s="141">
        <f t="shared" si="12"/>
        <v>386.17699999999996</v>
      </c>
      <c r="U35" s="153">
        <f t="shared" si="13"/>
        <v>555.97699999999998</v>
      </c>
      <c r="V35" s="123" t="s">
        <v>223</v>
      </c>
      <c r="W35" s="126" t="s">
        <v>224</v>
      </c>
      <c r="X35">
        <v>1700027</v>
      </c>
    </row>
    <row r="36" spans="1:24" x14ac:dyDescent="0.3">
      <c r="A36" s="327" t="s">
        <v>185</v>
      </c>
      <c r="B36" s="328"/>
      <c r="C36" s="328"/>
      <c r="D36" s="328"/>
      <c r="E36" s="329"/>
      <c r="F36" s="151">
        <f>SUM(F29:F35)</f>
        <v>4052</v>
      </c>
      <c r="G36" s="151">
        <f t="shared" ref="G36:S36" si="14">SUM(G29:G35)</f>
        <v>210</v>
      </c>
      <c r="H36" s="151">
        <f t="shared" si="14"/>
        <v>4052</v>
      </c>
      <c r="I36" s="151">
        <f t="shared" si="14"/>
        <v>0</v>
      </c>
      <c r="J36" s="151">
        <f t="shared" si="14"/>
        <v>0</v>
      </c>
      <c r="K36" s="151">
        <f t="shared" si="14"/>
        <v>4052</v>
      </c>
      <c r="L36" s="151">
        <f>SUM(L29:L35)</f>
        <v>382.91399999999993</v>
      </c>
      <c r="M36" s="151">
        <f>SUM(M29:M35)</f>
        <v>492.31800000000004</v>
      </c>
      <c r="N36" s="151"/>
      <c r="O36" s="151">
        <f t="shared" si="14"/>
        <v>138.12</v>
      </c>
      <c r="P36" s="151">
        <f t="shared" si="14"/>
        <v>0</v>
      </c>
      <c r="Q36" s="151">
        <f t="shared" si="14"/>
        <v>66.069999999999993</v>
      </c>
      <c r="R36" s="151">
        <f t="shared" si="14"/>
        <v>587.10399999999993</v>
      </c>
      <c r="S36" s="151">
        <f t="shared" si="14"/>
        <v>1127.9904761904763</v>
      </c>
      <c r="T36" s="156">
        <f>SUM(T29:T35)</f>
        <v>2336.9055238095239</v>
      </c>
      <c r="U36" s="79"/>
    </row>
    <row r="39" spans="1:24" x14ac:dyDescent="0.3">
      <c r="C39">
        <f>225.86*4</f>
        <v>903.44</v>
      </c>
      <c r="E39" s="330" t="s">
        <v>28</v>
      </c>
      <c r="F39" s="330"/>
      <c r="G39" s="330"/>
      <c r="H39" s="84"/>
      <c r="I39" s="85"/>
      <c r="J39" s="85"/>
      <c r="K39" s="86"/>
      <c r="L39" s="330" t="s">
        <v>187</v>
      </c>
      <c r="M39" s="330"/>
      <c r="N39" s="330"/>
      <c r="O39" s="330"/>
      <c r="P39" s="330"/>
      <c r="Q39" s="330"/>
    </row>
    <row r="40" spans="1:24" x14ac:dyDescent="0.3">
      <c r="E40" s="161"/>
      <c r="F40" s="161"/>
      <c r="G40" s="161"/>
      <c r="H40" s="84"/>
      <c r="I40" s="85"/>
      <c r="J40" s="85"/>
      <c r="K40" s="86"/>
      <c r="L40" s="161"/>
      <c r="M40" s="161"/>
      <c r="N40" s="161"/>
      <c r="O40" s="161"/>
      <c r="P40" s="161"/>
      <c r="Q40" s="161"/>
    </row>
    <row r="41" spans="1:24" x14ac:dyDescent="0.3">
      <c r="E41" s="145"/>
      <c r="F41" s="146"/>
      <c r="G41" s="145"/>
      <c r="H41" s="146"/>
      <c r="I41" s="85"/>
      <c r="J41" s="85"/>
      <c r="K41" s="88"/>
      <c r="L41" s="88"/>
      <c r="M41" s="88"/>
      <c r="N41" s="88"/>
      <c r="O41" s="88"/>
      <c r="P41" s="89"/>
      <c r="Q41" s="89"/>
    </row>
    <row r="42" spans="1:24" x14ac:dyDescent="0.3">
      <c r="E42" s="317" t="s">
        <v>188</v>
      </c>
      <c r="F42" s="317"/>
      <c r="G42" s="317"/>
      <c r="H42" s="317"/>
      <c r="I42" s="85"/>
      <c r="J42" s="85"/>
      <c r="K42" s="88"/>
      <c r="L42" s="331" t="s">
        <v>189</v>
      </c>
      <c r="M42" s="331"/>
      <c r="N42" s="331"/>
      <c r="O42" s="331"/>
      <c r="P42" s="331"/>
      <c r="Q42" s="331"/>
    </row>
    <row r="43" spans="1:24" x14ac:dyDescent="0.3">
      <c r="E43" s="316" t="s">
        <v>238</v>
      </c>
      <c r="F43" s="316"/>
      <c r="G43" s="316"/>
      <c r="H43" s="316"/>
      <c r="L43" s="316" t="s">
        <v>237</v>
      </c>
      <c r="M43" s="316"/>
      <c r="N43" s="316"/>
      <c r="O43" s="316"/>
      <c r="P43" s="316"/>
      <c r="Q43" s="316"/>
    </row>
    <row r="50" spans="1:24" ht="15.6" customHeight="1" thickBot="1" x14ac:dyDescent="0.35"/>
    <row r="51" spans="1:24" ht="15.6" customHeight="1" x14ac:dyDescent="0.3">
      <c r="A51" s="294"/>
      <c r="B51" s="295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6"/>
    </row>
    <row r="52" spans="1:24" ht="15.6" customHeight="1" x14ac:dyDescent="0.3">
      <c r="A52" s="307"/>
      <c r="B52" s="308"/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9"/>
    </row>
    <row r="53" spans="1:24" ht="15.6" customHeight="1" x14ac:dyDescent="0.3">
      <c r="A53" s="307"/>
      <c r="B53" s="308"/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09"/>
    </row>
    <row r="54" spans="1:24" ht="15.6" customHeight="1" x14ac:dyDescent="0.3">
      <c r="A54" s="307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9"/>
    </row>
    <row r="55" spans="1:24" ht="15.6" customHeight="1" thickBot="1" x14ac:dyDescent="0.35">
      <c r="A55" s="307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9"/>
    </row>
    <row r="56" spans="1:24" ht="16.2" customHeight="1" thickBot="1" x14ac:dyDescent="0.35">
      <c r="A56" s="324" t="s">
        <v>253</v>
      </c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6"/>
    </row>
    <row r="57" spans="1:24" ht="38.4" customHeight="1" x14ac:dyDescent="0.3">
      <c r="A57" s="104" t="s">
        <v>143</v>
      </c>
      <c r="B57" s="105" t="s">
        <v>144</v>
      </c>
      <c r="C57" s="105" t="s">
        <v>145</v>
      </c>
      <c r="D57" s="105" t="s">
        <v>146</v>
      </c>
      <c r="E57" s="105" t="s">
        <v>147</v>
      </c>
      <c r="F57" s="105" t="s">
        <v>148</v>
      </c>
      <c r="G57" s="105" t="s">
        <v>151</v>
      </c>
      <c r="H57" s="105" t="s">
        <v>174</v>
      </c>
      <c r="I57" s="105" t="s">
        <v>149</v>
      </c>
      <c r="J57" s="105" t="s">
        <v>150</v>
      </c>
      <c r="K57" s="105" t="s">
        <v>152</v>
      </c>
      <c r="L57" s="105" t="s">
        <v>186</v>
      </c>
      <c r="M57" s="105" t="s">
        <v>154</v>
      </c>
      <c r="N57" s="105" t="s">
        <v>155</v>
      </c>
      <c r="O57" s="105" t="s">
        <v>156</v>
      </c>
      <c r="P57" s="105" t="s">
        <v>157</v>
      </c>
      <c r="Q57" s="105" t="s">
        <v>158</v>
      </c>
      <c r="R57" s="105" t="s">
        <v>159</v>
      </c>
      <c r="S57" s="105" t="s">
        <v>160</v>
      </c>
      <c r="T57" s="105" t="s">
        <v>13</v>
      </c>
      <c r="U57" s="106" t="s">
        <v>161</v>
      </c>
      <c r="V57" s="129" t="s">
        <v>220</v>
      </c>
      <c r="W57" s="130" t="s">
        <v>229</v>
      </c>
      <c r="X57" s="127" t="s">
        <v>219</v>
      </c>
    </row>
    <row r="58" spans="1:24" ht="31.2" customHeight="1" x14ac:dyDescent="0.3">
      <c r="A58" s="71" t="s">
        <v>120</v>
      </c>
      <c r="B58" s="71">
        <v>2023</v>
      </c>
      <c r="C58" s="73">
        <v>2200446587</v>
      </c>
      <c r="D58" s="73" t="s">
        <v>190</v>
      </c>
      <c r="E58" s="73" t="s">
        <v>191</v>
      </c>
      <c r="F58" s="91">
        <v>527</v>
      </c>
      <c r="G58" s="63">
        <v>30</v>
      </c>
      <c r="H58" s="72">
        <f>ROUND(F58/30*G58,2)</f>
        <v>527</v>
      </c>
      <c r="I58" s="92">
        <f>H58/12</f>
        <v>43.916666666666664</v>
      </c>
      <c r="J58" s="72">
        <f>450/12</f>
        <v>37.5</v>
      </c>
      <c r="K58" s="119">
        <f>ROUND(H58+I58+J58,2)</f>
        <v>608.41999999999996</v>
      </c>
      <c r="L58" s="92">
        <f>H58*11.45%</f>
        <v>60.341499999999996</v>
      </c>
      <c r="M58" s="92">
        <v>57.3</v>
      </c>
      <c r="N58" s="63">
        <v>71</v>
      </c>
      <c r="O58" s="63"/>
      <c r="P58" s="63"/>
      <c r="Q58" s="63"/>
      <c r="R58" s="119">
        <f>L58+O58+P58+Q58</f>
        <v>60.341499999999996</v>
      </c>
      <c r="S58" s="63"/>
      <c r="T58" s="140">
        <f>K58-R58-S58</f>
        <v>548.07849999999996</v>
      </c>
      <c r="U58" s="63"/>
      <c r="V58" s="123" t="s">
        <v>230</v>
      </c>
      <c r="W58" s="126" t="s">
        <v>209</v>
      </c>
      <c r="X58">
        <v>1600022</v>
      </c>
    </row>
    <row r="59" spans="1:24" ht="31.2" customHeight="1" x14ac:dyDescent="0.3">
      <c r="A59" s="71" t="s">
        <v>120</v>
      </c>
      <c r="B59" s="71">
        <v>2023</v>
      </c>
      <c r="C59" s="73">
        <v>2200238240</v>
      </c>
      <c r="D59" s="73" t="s">
        <v>125</v>
      </c>
      <c r="E59" s="73" t="s">
        <v>66</v>
      </c>
      <c r="F59" s="91">
        <v>566</v>
      </c>
      <c r="G59" s="63">
        <v>30</v>
      </c>
      <c r="H59" s="72">
        <f>F59</f>
        <v>566</v>
      </c>
      <c r="I59" s="92"/>
      <c r="J59" s="72"/>
      <c r="K59" s="119">
        <f>ROUND(H59+I59+J59,2)</f>
        <v>566</v>
      </c>
      <c r="L59" s="92">
        <f>F59*11.45%</f>
        <v>64.806999999999988</v>
      </c>
      <c r="M59" s="92">
        <f>F59*11.65%</f>
        <v>65.939000000000007</v>
      </c>
      <c r="N59" s="63">
        <v>71</v>
      </c>
      <c r="O59" s="63"/>
      <c r="P59" s="63"/>
      <c r="Q59" s="63"/>
      <c r="R59" s="119">
        <f>L59+O59+P59+Q59</f>
        <v>64.806999999999988</v>
      </c>
      <c r="S59" s="122">
        <v>188.66</v>
      </c>
      <c r="T59" s="140">
        <f>K59-R59-S59</f>
        <v>312.53300000000002</v>
      </c>
      <c r="U59" s="63"/>
      <c r="V59" s="123" t="s">
        <v>225</v>
      </c>
      <c r="W59" s="126" t="s">
        <v>226</v>
      </c>
      <c r="X59">
        <v>1600303</v>
      </c>
    </row>
    <row r="60" spans="1:24" ht="31.2" customHeight="1" x14ac:dyDescent="0.3">
      <c r="A60" s="71" t="s">
        <v>120</v>
      </c>
      <c r="B60" s="71">
        <v>2023</v>
      </c>
      <c r="C60" s="142" t="s">
        <v>235</v>
      </c>
      <c r="D60" s="73" t="s">
        <v>195</v>
      </c>
      <c r="E60" s="73" t="s">
        <v>196</v>
      </c>
      <c r="F60" s="91">
        <v>1212</v>
      </c>
      <c r="G60" s="63">
        <v>30</v>
      </c>
      <c r="H60" s="72">
        <f>+F60/31*G60</f>
        <v>1172.9032258064515</v>
      </c>
      <c r="I60" s="92">
        <f>H60/12</f>
        <v>97.741935483870961</v>
      </c>
      <c r="J60" s="72">
        <f>450/12</f>
        <v>37.5</v>
      </c>
      <c r="K60" s="119">
        <f>ROUND(H60+I60+J60,2)</f>
        <v>1308.1500000000001</v>
      </c>
      <c r="L60" s="119">
        <f>F60*11.45%</f>
        <v>138.774</v>
      </c>
      <c r="M60" s="92">
        <f>F60*11.65%</f>
        <v>141.19800000000001</v>
      </c>
      <c r="N60" s="63">
        <v>71</v>
      </c>
      <c r="O60" s="63"/>
      <c r="P60" s="63"/>
      <c r="Q60" s="63"/>
      <c r="R60" s="119">
        <f>L60+O60+P60+Q60</f>
        <v>138.774</v>
      </c>
      <c r="S60" s="63"/>
      <c r="T60" s="140">
        <f>K60-R60-S60</f>
        <v>1169.3760000000002</v>
      </c>
      <c r="U60" s="63"/>
      <c r="V60" s="123" t="s">
        <v>214</v>
      </c>
      <c r="W60" s="126" t="s">
        <v>213</v>
      </c>
      <c r="X60">
        <v>2600021</v>
      </c>
    </row>
    <row r="61" spans="1:24" ht="31.2" customHeight="1" x14ac:dyDescent="0.3">
      <c r="A61" s="332" t="s">
        <v>185</v>
      </c>
      <c r="B61" s="333"/>
      <c r="C61" s="333"/>
      <c r="D61" s="333"/>
      <c r="E61" s="334"/>
      <c r="F61" s="63"/>
      <c r="G61" s="63"/>
      <c r="H61" s="136">
        <f t="shared" ref="H61:T61" si="15">SUM(H58:H60)</f>
        <v>2265.9032258064517</v>
      </c>
      <c r="I61" s="136">
        <f t="shared" si="15"/>
        <v>141.65860215053763</v>
      </c>
      <c r="J61" s="136">
        <f t="shared" si="15"/>
        <v>75</v>
      </c>
      <c r="K61" s="136">
        <f t="shared" si="15"/>
        <v>2482.5700000000002</v>
      </c>
      <c r="L61" s="136">
        <f t="shared" si="15"/>
        <v>263.92250000000001</v>
      </c>
      <c r="M61" s="136">
        <f t="shared" si="15"/>
        <v>264.43700000000001</v>
      </c>
      <c r="N61" s="136">
        <f t="shared" si="15"/>
        <v>213</v>
      </c>
      <c r="O61" s="136">
        <f t="shared" si="15"/>
        <v>0</v>
      </c>
      <c r="P61" s="136">
        <f t="shared" si="15"/>
        <v>0</v>
      </c>
      <c r="Q61" s="136">
        <f t="shared" si="15"/>
        <v>0</v>
      </c>
      <c r="R61" s="136">
        <f t="shared" si="15"/>
        <v>263.92250000000001</v>
      </c>
      <c r="S61" s="136">
        <f t="shared" si="15"/>
        <v>188.66</v>
      </c>
      <c r="T61" s="157">
        <f t="shared" si="15"/>
        <v>2029.9875000000002</v>
      </c>
      <c r="U61" s="137"/>
    </row>
    <row r="62" spans="1:24" x14ac:dyDescent="0.3">
      <c r="E62" s="330" t="s">
        <v>28</v>
      </c>
      <c r="F62" s="330"/>
      <c r="G62" s="330"/>
      <c r="H62" s="84"/>
      <c r="I62" s="85"/>
      <c r="J62" s="85"/>
      <c r="K62" s="86"/>
      <c r="L62" s="330" t="s">
        <v>187</v>
      </c>
      <c r="M62" s="330"/>
      <c r="N62" s="330"/>
      <c r="O62" s="330"/>
      <c r="P62" s="330"/>
      <c r="Q62" s="330"/>
    </row>
    <row r="63" spans="1:24" x14ac:dyDescent="0.3">
      <c r="E63" s="161"/>
      <c r="F63" s="161"/>
      <c r="G63" s="161"/>
      <c r="H63" s="84"/>
      <c r="I63" s="85"/>
      <c r="J63" s="85"/>
      <c r="K63" s="86"/>
      <c r="L63" s="254">
        <f>L61+L36</f>
        <v>646.83649999999989</v>
      </c>
      <c r="M63" s="254">
        <f>M61+M36</f>
        <v>756.75500000000011</v>
      </c>
      <c r="N63" s="161"/>
      <c r="O63" s="161"/>
      <c r="P63" s="161"/>
      <c r="Q63" s="161"/>
    </row>
    <row r="64" spans="1:24" x14ac:dyDescent="0.3">
      <c r="E64" s="145"/>
      <c r="F64" s="146"/>
      <c r="G64" s="145"/>
      <c r="H64" s="146"/>
      <c r="I64" s="85"/>
      <c r="J64" s="85"/>
      <c r="K64" s="88"/>
      <c r="L64" s="88"/>
      <c r="M64" s="88"/>
      <c r="N64" s="88"/>
      <c r="O64" s="88"/>
      <c r="P64" s="89"/>
      <c r="Q64" s="89"/>
    </row>
    <row r="65" spans="1:20" x14ac:dyDescent="0.3">
      <c r="E65" s="317" t="s">
        <v>188</v>
      </c>
      <c r="F65" s="317"/>
      <c r="G65" s="317"/>
      <c r="H65" s="317"/>
      <c r="I65" s="85"/>
      <c r="J65" s="85"/>
      <c r="K65" s="88"/>
      <c r="L65" s="331" t="s">
        <v>189</v>
      </c>
      <c r="M65" s="331"/>
      <c r="N65" s="331"/>
      <c r="O65" s="331"/>
      <c r="P65" s="331"/>
      <c r="Q65" s="331"/>
    </row>
    <row r="66" spans="1:20" x14ac:dyDescent="0.3">
      <c r="E66" s="316" t="s">
        <v>238</v>
      </c>
      <c r="F66" s="316"/>
      <c r="G66" s="316"/>
      <c r="H66" s="316"/>
      <c r="L66" s="316" t="s">
        <v>237</v>
      </c>
      <c r="M66" s="316"/>
      <c r="N66" s="316"/>
      <c r="O66" s="316"/>
      <c r="P66" s="316"/>
      <c r="Q66" s="316"/>
    </row>
    <row r="67" spans="1:20" x14ac:dyDescent="0.3">
      <c r="E67" s="245"/>
      <c r="F67" s="245"/>
      <c r="G67" s="245"/>
      <c r="H67" s="245"/>
      <c r="L67" s="245"/>
      <c r="M67" s="245"/>
      <c r="N67" s="245"/>
      <c r="O67" s="245"/>
      <c r="P67" s="245"/>
      <c r="Q67" s="245"/>
    </row>
    <row r="69" spans="1:20" ht="27.6" x14ac:dyDescent="0.3">
      <c r="A69" s="71" t="s">
        <v>120</v>
      </c>
      <c r="B69" s="71">
        <v>2023</v>
      </c>
      <c r="C69" s="73">
        <v>2200446587</v>
      </c>
      <c r="D69" s="73" t="s">
        <v>190</v>
      </c>
      <c r="E69" s="73" t="s">
        <v>191</v>
      </c>
      <c r="F69" s="91">
        <v>527</v>
      </c>
      <c r="G69" s="63">
        <v>28</v>
      </c>
      <c r="H69" s="72">
        <f>ROUND(F69/30*G69,2)</f>
        <v>491.87</v>
      </c>
      <c r="I69" s="92">
        <f>H69/12</f>
        <v>40.989166666666669</v>
      </c>
      <c r="J69" s="72">
        <f>450/12</f>
        <v>37.5</v>
      </c>
      <c r="K69" s="119">
        <f>ROUND(H69+I69+J69,2)</f>
        <v>570.36</v>
      </c>
      <c r="L69" s="92">
        <f>H69*11.45%</f>
        <v>56.319114999999996</v>
      </c>
      <c r="M69" s="92">
        <f>ROUND(H69*11.65%,2)</f>
        <v>57.3</v>
      </c>
      <c r="N69" s="63">
        <v>71</v>
      </c>
      <c r="O69" s="63"/>
      <c r="P69" s="63"/>
      <c r="Q69" s="63"/>
      <c r="R69" s="119">
        <f>L69+O69+P69+Q69</f>
        <v>56.319114999999996</v>
      </c>
      <c r="S69" s="63"/>
      <c r="T69" s="140">
        <f>K69-R69-S69</f>
        <v>514.040885</v>
      </c>
    </row>
    <row r="71" spans="1:20" x14ac:dyDescent="0.3">
      <c r="T71" s="61">
        <f>T58-T69</f>
        <v>34.03761499999996</v>
      </c>
    </row>
  </sheetData>
  <mergeCells count="27">
    <mergeCell ref="E39:G39"/>
    <mergeCell ref="L39:Q39"/>
    <mergeCell ref="A1:U5"/>
    <mergeCell ref="A6:U6"/>
    <mergeCell ref="A14:E14"/>
    <mergeCell ref="E16:G16"/>
    <mergeCell ref="L16:Q16"/>
    <mergeCell ref="E19:H19"/>
    <mergeCell ref="L19:Q19"/>
    <mergeCell ref="E20:H20"/>
    <mergeCell ref="L20:Q20"/>
    <mergeCell ref="A22:U26"/>
    <mergeCell ref="A27:U27"/>
    <mergeCell ref="A36:E36"/>
    <mergeCell ref="E66:H66"/>
    <mergeCell ref="L66:Q66"/>
    <mergeCell ref="E42:H42"/>
    <mergeCell ref="L42:Q42"/>
    <mergeCell ref="E43:H43"/>
    <mergeCell ref="L43:Q43"/>
    <mergeCell ref="A51:U55"/>
    <mergeCell ref="A56:U56"/>
    <mergeCell ref="A61:E61"/>
    <mergeCell ref="E62:G62"/>
    <mergeCell ref="L62:Q62"/>
    <mergeCell ref="E65:H65"/>
    <mergeCell ref="L65:Q65"/>
  </mergeCells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H7" sqref="H7"/>
    </sheetView>
  </sheetViews>
  <sheetFormatPr baseColWidth="10" defaultRowHeight="14.4" x14ac:dyDescent="0.3"/>
  <cols>
    <col min="1" max="1" width="33.88671875" bestFit="1" customWidth="1"/>
    <col min="2" max="2" width="12.33203125" customWidth="1"/>
    <col min="3" max="3" width="19.44140625" customWidth="1"/>
    <col min="4" max="4" width="14.88671875" customWidth="1"/>
  </cols>
  <sheetData>
    <row r="2" spans="1:5" ht="70.2" x14ac:dyDescent="0.3">
      <c r="A2" s="164" t="s">
        <v>248</v>
      </c>
      <c r="B2" s="164" t="s">
        <v>145</v>
      </c>
      <c r="C2" s="165" t="s">
        <v>249</v>
      </c>
      <c r="D2" s="164" t="s">
        <v>250</v>
      </c>
      <c r="E2" s="163"/>
    </row>
    <row r="3" spans="1:5" ht="34.200000000000003" customHeight="1" x14ac:dyDescent="0.3">
      <c r="A3" s="64" t="s">
        <v>163</v>
      </c>
      <c r="B3" s="94">
        <v>1500721202</v>
      </c>
      <c r="C3" s="63"/>
      <c r="D3" s="63"/>
    </row>
    <row r="4" spans="1:5" ht="34.200000000000003" customHeight="1" x14ac:dyDescent="0.3">
      <c r="A4" s="66" t="s">
        <v>164</v>
      </c>
      <c r="B4" s="95" t="s">
        <v>198</v>
      </c>
      <c r="C4" s="63"/>
      <c r="D4" s="63"/>
    </row>
    <row r="5" spans="1:5" ht="34.200000000000003" customHeight="1" x14ac:dyDescent="0.3">
      <c r="A5" s="64" t="s">
        <v>165</v>
      </c>
      <c r="B5" s="95" t="s">
        <v>199</v>
      </c>
      <c r="C5" s="63"/>
      <c r="D5" s="63"/>
    </row>
    <row r="6" spans="1:5" ht="34.200000000000003" customHeight="1" x14ac:dyDescent="0.3">
      <c r="A6" s="64" t="s">
        <v>166</v>
      </c>
      <c r="B6" s="96">
        <v>1500367295</v>
      </c>
      <c r="C6" s="63"/>
      <c r="D6" s="63"/>
    </row>
    <row r="7" spans="1:5" ht="34.200000000000003" customHeight="1" x14ac:dyDescent="0.3">
      <c r="A7" s="66" t="s">
        <v>167</v>
      </c>
      <c r="B7" s="97">
        <v>1500814940</v>
      </c>
      <c r="C7" s="63"/>
      <c r="D7" s="63"/>
    </row>
    <row r="8" spans="1:5" ht="34.200000000000003" customHeight="1" x14ac:dyDescent="0.3">
      <c r="A8" s="67" t="s">
        <v>168</v>
      </c>
      <c r="B8" s="98" t="s">
        <v>200</v>
      </c>
      <c r="C8" s="63"/>
      <c r="D8" s="63"/>
    </row>
    <row r="9" spans="1:5" ht="34.200000000000003" customHeight="1" x14ac:dyDescent="0.3">
      <c r="A9" s="73" t="s">
        <v>178</v>
      </c>
      <c r="B9" s="73" t="s">
        <v>179</v>
      </c>
      <c r="C9" s="63"/>
      <c r="D9" s="63"/>
    </row>
    <row r="10" spans="1:5" ht="34.200000000000003" customHeight="1" x14ac:dyDescent="0.3">
      <c r="A10" s="73" t="s">
        <v>73</v>
      </c>
      <c r="B10" s="73" t="s">
        <v>77</v>
      </c>
      <c r="C10" s="63"/>
      <c r="D10" s="63"/>
    </row>
    <row r="11" spans="1:5" ht="34.200000000000003" customHeight="1" x14ac:dyDescent="0.3">
      <c r="A11" s="73" t="s">
        <v>78</v>
      </c>
      <c r="B11" s="73" t="s">
        <v>79</v>
      </c>
      <c r="C11" s="63"/>
      <c r="D11" s="63"/>
    </row>
    <row r="12" spans="1:5" ht="34.200000000000003" customHeight="1" x14ac:dyDescent="0.3">
      <c r="A12" s="73" t="s">
        <v>69</v>
      </c>
      <c r="B12" s="73" t="s">
        <v>180</v>
      </c>
      <c r="C12" s="63"/>
      <c r="D12" s="63"/>
    </row>
    <row r="13" spans="1:5" ht="34.200000000000003" customHeight="1" x14ac:dyDescent="0.3">
      <c r="A13" s="73" t="s">
        <v>88</v>
      </c>
      <c r="B13" s="73" t="s">
        <v>89</v>
      </c>
      <c r="C13" s="63"/>
      <c r="D13" s="63"/>
    </row>
    <row r="14" spans="1:5" ht="34.200000000000003" customHeight="1" x14ac:dyDescent="0.3">
      <c r="A14" s="73" t="s">
        <v>95</v>
      </c>
      <c r="B14" s="73" t="s">
        <v>181</v>
      </c>
      <c r="C14" s="63"/>
      <c r="D14" s="63"/>
    </row>
    <row r="15" spans="1:5" ht="34.200000000000003" customHeight="1" x14ac:dyDescent="0.3">
      <c r="A15" s="73" t="s">
        <v>65</v>
      </c>
      <c r="B15" s="73" t="s">
        <v>182</v>
      </c>
      <c r="C15" s="63"/>
      <c r="D15" s="63"/>
    </row>
    <row r="16" spans="1:5" ht="34.200000000000003" customHeight="1" x14ac:dyDescent="0.3">
      <c r="A16" s="73" t="s">
        <v>190</v>
      </c>
      <c r="B16" s="73">
        <v>2200446587</v>
      </c>
      <c r="C16" s="63"/>
      <c r="D16" s="63"/>
    </row>
    <row r="17" spans="1:4" ht="34.200000000000003" customHeight="1" x14ac:dyDescent="0.3">
      <c r="A17" s="73" t="s">
        <v>125</v>
      </c>
      <c r="B17" s="73">
        <v>2200238240</v>
      </c>
      <c r="C17" s="63"/>
      <c r="D17" s="63"/>
    </row>
    <row r="18" spans="1:4" ht="34.200000000000003" customHeight="1" x14ac:dyDescent="0.3">
      <c r="A18" s="73" t="s">
        <v>195</v>
      </c>
      <c r="B18" s="142" t="s">
        <v>235</v>
      </c>
      <c r="C18" s="63"/>
      <c r="D18" s="63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9"/>
  <sheetViews>
    <sheetView topLeftCell="K65" workbookViewId="0">
      <selection activeCell="T81" sqref="T81"/>
    </sheetView>
  </sheetViews>
  <sheetFormatPr baseColWidth="10" defaultRowHeight="14.4" x14ac:dyDescent="0.3"/>
  <cols>
    <col min="1" max="1" width="35.5546875" customWidth="1"/>
    <col min="2" max="2" width="36.109375" customWidth="1"/>
    <col min="3" max="3" width="17.33203125" customWidth="1"/>
    <col min="4" max="4" width="17.6640625" customWidth="1"/>
    <col min="5" max="5" width="32.1093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tr">
        <f>'ROL DE JUNIO 2023'!D12</f>
        <v>JEANET VIVIANA VASQUEZ YUMBO</v>
      </c>
      <c r="C9" s="3"/>
      <c r="D9" s="12"/>
    </row>
    <row r="10" spans="1:4" x14ac:dyDescent="0.3">
      <c r="A10" s="11" t="s">
        <v>2</v>
      </c>
      <c r="B10" s="10" t="s">
        <v>242</v>
      </c>
      <c r="C10" s="4"/>
      <c r="D10" s="13"/>
    </row>
    <row r="11" spans="1:4" x14ac:dyDescent="0.3">
      <c r="A11" s="11" t="s">
        <v>3</v>
      </c>
      <c r="B11" s="3" t="s">
        <v>172</v>
      </c>
      <c r="C11" s="4"/>
      <c r="D11" s="14"/>
    </row>
    <row r="12" spans="1:4" x14ac:dyDescent="0.3">
      <c r="A12" s="11" t="s">
        <v>26</v>
      </c>
      <c r="B12" s="3" t="s">
        <v>120</v>
      </c>
      <c r="C12" s="4"/>
      <c r="D12" s="15"/>
    </row>
    <row r="13" spans="1:4" x14ac:dyDescent="0.3">
      <c r="A13" s="11" t="s">
        <v>99</v>
      </c>
      <c r="B13" s="55">
        <v>2023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4" x14ac:dyDescent="0.3">
      <c r="A17" s="26" t="s">
        <v>16</v>
      </c>
      <c r="B17" s="27"/>
      <c r="C17" s="28">
        <f>'ROL DE JUNIO 2023'!H12</f>
        <v>536</v>
      </c>
      <c r="D17" s="29"/>
    </row>
    <row r="18" spans="1:4" x14ac:dyDescent="0.3">
      <c r="A18" s="26" t="s">
        <v>100</v>
      </c>
      <c r="B18" s="27"/>
      <c r="C18" s="56"/>
      <c r="D18" s="29"/>
    </row>
    <row r="19" spans="1:4" x14ac:dyDescent="0.3">
      <c r="A19" s="26" t="s">
        <v>8</v>
      </c>
      <c r="B19" s="27"/>
      <c r="C19" s="28"/>
      <c r="D19" s="29"/>
    </row>
    <row r="20" spans="1:4" x14ac:dyDescent="0.3">
      <c r="A20" s="26" t="s">
        <v>9</v>
      </c>
      <c r="B20" s="27"/>
      <c r="C20" s="28"/>
      <c r="D20" s="29"/>
    </row>
    <row r="21" spans="1:4" x14ac:dyDescent="0.3">
      <c r="A21" s="26"/>
      <c r="B21" s="27" t="s">
        <v>19</v>
      </c>
      <c r="C21" s="28"/>
      <c r="D21" s="29">
        <f>C17*11.45%</f>
        <v>61.371999999999993</v>
      </c>
    </row>
    <row r="22" spans="1:4" x14ac:dyDescent="0.3">
      <c r="A22" s="26"/>
      <c r="B22" s="27" t="s">
        <v>11</v>
      </c>
      <c r="C22" s="28"/>
      <c r="D22" s="29"/>
    </row>
    <row r="23" spans="1:4" x14ac:dyDescent="0.3">
      <c r="A23" s="26"/>
      <c r="B23" s="27" t="s">
        <v>55</v>
      </c>
      <c r="C23" s="28"/>
      <c r="D23" s="29">
        <f>'ROL DE JUNIO 2023'!S12</f>
        <v>229.71428571428572</v>
      </c>
    </row>
    <row r="24" spans="1:4" x14ac:dyDescent="0.3">
      <c r="A24" s="26"/>
      <c r="B24" s="27" t="s">
        <v>18</v>
      </c>
      <c r="C24" s="28"/>
      <c r="D24" s="29"/>
    </row>
    <row r="25" spans="1:4" x14ac:dyDescent="0.3">
      <c r="A25" s="43"/>
      <c r="B25" s="44" t="s">
        <v>12</v>
      </c>
      <c r="C25" s="46">
        <f>SUM(C17:C24)</f>
        <v>536</v>
      </c>
      <c r="D25" s="50">
        <f>SUM(D17:D24)</f>
        <v>291.08628571428574</v>
      </c>
    </row>
    <row r="26" spans="1:4" x14ac:dyDescent="0.3">
      <c r="A26" s="21"/>
      <c r="B26" s="3"/>
      <c r="C26" s="3"/>
      <c r="D26" s="22"/>
    </row>
    <row r="27" spans="1:4" ht="28.2" x14ac:dyDescent="0.3">
      <c r="A27" s="21"/>
      <c r="B27" s="45"/>
      <c r="C27" s="47" t="s">
        <v>13</v>
      </c>
      <c r="D27" s="51">
        <f>+C25-D25</f>
        <v>244.91371428571426</v>
      </c>
    </row>
    <row r="28" spans="1:4" ht="15" thickBot="1" x14ac:dyDescent="0.35">
      <c r="A28" s="23"/>
      <c r="B28" s="4" t="s">
        <v>14</v>
      </c>
      <c r="C28" s="2"/>
      <c r="D28" s="24"/>
    </row>
    <row r="29" spans="1:4" ht="15" thickBot="1" x14ac:dyDescent="0.35">
      <c r="A29" s="158" t="s">
        <v>28</v>
      </c>
      <c r="B29" s="158" t="s">
        <v>93</v>
      </c>
      <c r="C29" s="336" t="s">
        <v>30</v>
      </c>
      <c r="D29" s="337"/>
    </row>
    <row r="30" spans="1:4" x14ac:dyDescent="0.3">
      <c r="A30" s="37"/>
      <c r="B30" s="34"/>
      <c r="C30" s="32"/>
      <c r="D30" s="25"/>
    </row>
    <row r="31" spans="1:4" x14ac:dyDescent="0.3">
      <c r="A31" s="37"/>
      <c r="B31" s="34"/>
      <c r="C31" s="32"/>
      <c r="D31" s="25"/>
    </row>
    <row r="32" spans="1:4" x14ac:dyDescent="0.3">
      <c r="A32" s="37"/>
      <c r="B32" s="34"/>
      <c r="C32" s="32"/>
      <c r="D32" s="25"/>
    </row>
    <row r="33" spans="1:4" x14ac:dyDescent="0.3">
      <c r="A33" s="37"/>
      <c r="B33" s="34"/>
      <c r="C33" s="32"/>
      <c r="D33" s="25"/>
    </row>
    <row r="34" spans="1:4" x14ac:dyDescent="0.3">
      <c r="A34" s="37"/>
      <c r="B34" s="34"/>
      <c r="C34" s="32"/>
      <c r="D34" s="25"/>
    </row>
    <row r="35" spans="1:4" x14ac:dyDescent="0.3">
      <c r="A35" s="38" t="s">
        <v>245</v>
      </c>
      <c r="B35" s="35" t="s">
        <v>247</v>
      </c>
      <c r="C35" s="290" t="s">
        <v>243</v>
      </c>
      <c r="D35" s="291"/>
    </row>
    <row r="36" spans="1:4" ht="15" thickBot="1" x14ac:dyDescent="0.35">
      <c r="A36" s="36" t="s">
        <v>246</v>
      </c>
      <c r="B36" s="33" t="s">
        <v>23</v>
      </c>
      <c r="C36" s="292" t="s">
        <v>244</v>
      </c>
      <c r="D36" s="293"/>
    </row>
    <row r="41" spans="1:4" ht="15" thickBot="1" x14ac:dyDescent="0.35"/>
    <row r="42" spans="1:4" ht="25.2" x14ac:dyDescent="0.3">
      <c r="A42" s="294"/>
      <c r="B42" s="295"/>
      <c r="C42" s="295"/>
      <c r="D42" s="296"/>
    </row>
    <row r="43" spans="1:4" x14ac:dyDescent="0.3">
      <c r="A43" s="31"/>
      <c r="B43" s="48"/>
      <c r="C43" s="2"/>
      <c r="D43" s="30"/>
    </row>
    <row r="44" spans="1:4" x14ac:dyDescent="0.3">
      <c r="A44" s="31"/>
      <c r="B44" s="49"/>
      <c r="C44" s="2"/>
      <c r="D44" s="30"/>
    </row>
    <row r="45" spans="1:4" x14ac:dyDescent="0.3">
      <c r="A45" s="31"/>
      <c r="B45" s="49"/>
      <c r="C45" s="2"/>
      <c r="D45" s="30"/>
    </row>
    <row r="46" spans="1:4" ht="15" thickBot="1" x14ac:dyDescent="0.35">
      <c r="A46" s="31"/>
      <c r="B46" s="2"/>
      <c r="C46" s="2"/>
      <c r="D46" s="30"/>
    </row>
    <row r="47" spans="1:4" ht="25.8" thickBot="1" x14ac:dyDescent="0.35">
      <c r="A47" s="297" t="s">
        <v>0</v>
      </c>
      <c r="B47" s="298"/>
      <c r="C47" s="298"/>
      <c r="D47" s="299"/>
    </row>
    <row r="48" spans="1:4" ht="25.2" x14ac:dyDescent="0.3">
      <c r="A48" s="52"/>
      <c r="B48" s="53"/>
      <c r="C48" s="53"/>
      <c r="D48" s="54"/>
    </row>
    <row r="49" spans="1:4" x14ac:dyDescent="0.3">
      <c r="A49" s="11" t="s">
        <v>1</v>
      </c>
      <c r="B49" s="3" t="s">
        <v>88</v>
      </c>
      <c r="C49" s="3"/>
      <c r="D49" s="12"/>
    </row>
    <row r="50" spans="1:4" x14ac:dyDescent="0.3">
      <c r="A50" s="11" t="s">
        <v>2</v>
      </c>
      <c r="B50" s="10" t="s">
        <v>89</v>
      </c>
      <c r="C50" s="4"/>
      <c r="D50" s="13"/>
    </row>
    <row r="51" spans="1:4" x14ac:dyDescent="0.3">
      <c r="A51" s="11" t="s">
        <v>3</v>
      </c>
      <c r="B51" s="3" t="s">
        <v>90</v>
      </c>
      <c r="C51" s="4"/>
      <c r="D51" s="14"/>
    </row>
    <row r="52" spans="1:4" x14ac:dyDescent="0.3">
      <c r="A52" s="11" t="s">
        <v>26</v>
      </c>
      <c r="B52" s="3" t="s">
        <v>120</v>
      </c>
      <c r="C52" s="4"/>
      <c r="D52" s="15"/>
    </row>
    <row r="53" spans="1:4" x14ac:dyDescent="0.3">
      <c r="A53" s="11" t="s">
        <v>99</v>
      </c>
      <c r="B53" s="55">
        <v>2023</v>
      </c>
      <c r="C53" s="4"/>
      <c r="D53" s="15"/>
    </row>
    <row r="54" spans="1:4" x14ac:dyDescent="0.3">
      <c r="A54" s="16"/>
      <c r="B54" s="5"/>
      <c r="C54" s="5"/>
      <c r="D54" s="17"/>
    </row>
    <row r="55" spans="1:4" x14ac:dyDescent="0.3">
      <c r="A55" s="39" t="s">
        <v>4</v>
      </c>
      <c r="B55" s="40"/>
      <c r="C55" s="41" t="s">
        <v>5</v>
      </c>
      <c r="D55" s="42" t="s">
        <v>6</v>
      </c>
    </row>
    <row r="56" spans="1:4" x14ac:dyDescent="0.3">
      <c r="A56" s="18"/>
      <c r="B56" s="6"/>
      <c r="C56" s="7"/>
      <c r="D56" s="19"/>
    </row>
    <row r="57" spans="1:4" x14ac:dyDescent="0.3">
      <c r="A57" s="26" t="s">
        <v>16</v>
      </c>
      <c r="B57" s="27"/>
      <c r="C57" s="28">
        <f>'ROL DE JUNIO 2023'!F33</f>
        <v>527</v>
      </c>
      <c r="D57" s="29"/>
    </row>
    <row r="58" spans="1:4" x14ac:dyDescent="0.3">
      <c r="A58" s="26" t="s">
        <v>100</v>
      </c>
      <c r="B58" s="27"/>
      <c r="C58" s="56"/>
      <c r="D58" s="29"/>
    </row>
    <row r="59" spans="1:4" x14ac:dyDescent="0.3">
      <c r="A59" s="26" t="s">
        <v>8</v>
      </c>
      <c r="B59" s="27"/>
      <c r="C59" s="28"/>
      <c r="D59" s="29"/>
    </row>
    <row r="60" spans="1:4" x14ac:dyDescent="0.3">
      <c r="A60" s="26" t="s">
        <v>9</v>
      </c>
      <c r="B60" s="27"/>
      <c r="C60" s="28"/>
      <c r="D60" s="29"/>
    </row>
    <row r="61" spans="1:4" x14ac:dyDescent="0.3">
      <c r="A61" s="26"/>
      <c r="B61" s="27" t="s">
        <v>19</v>
      </c>
      <c r="C61" s="28"/>
      <c r="D61" s="29">
        <v>49.89</v>
      </c>
    </row>
    <row r="62" spans="1:4" x14ac:dyDescent="0.3">
      <c r="A62" s="26"/>
      <c r="B62" s="27" t="s">
        <v>11</v>
      </c>
      <c r="C62" s="28"/>
      <c r="D62" s="29"/>
    </row>
    <row r="63" spans="1:4" x14ac:dyDescent="0.3">
      <c r="A63" s="26"/>
      <c r="B63" s="27" t="s">
        <v>55</v>
      </c>
      <c r="C63" s="28"/>
      <c r="D63" s="29">
        <f>'ROL DE JUNIO 2023'!S33</f>
        <v>225.85714285714286</v>
      </c>
    </row>
    <row r="64" spans="1:4" x14ac:dyDescent="0.3">
      <c r="A64" s="26"/>
      <c r="B64" s="27" t="s">
        <v>18</v>
      </c>
      <c r="C64" s="28"/>
      <c r="D64" s="29"/>
    </row>
    <row r="65" spans="1:4" x14ac:dyDescent="0.3">
      <c r="A65" s="26"/>
      <c r="B65" s="27"/>
      <c r="C65" s="28"/>
      <c r="D65" s="29"/>
    </row>
    <row r="66" spans="1:4" x14ac:dyDescent="0.3">
      <c r="A66" s="26"/>
      <c r="B66" s="27"/>
      <c r="C66" s="28"/>
      <c r="D66" s="29"/>
    </row>
    <row r="67" spans="1:4" x14ac:dyDescent="0.3">
      <c r="A67" s="21"/>
      <c r="B67" s="8"/>
      <c r="C67" s="1"/>
      <c r="D67" s="20"/>
    </row>
    <row r="68" spans="1:4" x14ac:dyDescent="0.3">
      <c r="A68" s="43"/>
      <c r="B68" s="44" t="s">
        <v>12</v>
      </c>
      <c r="C68" s="46">
        <f>SUM(C57:C67)</f>
        <v>527</v>
      </c>
      <c r="D68" s="50">
        <f>SUM(D57:D67)</f>
        <v>275.74714285714288</v>
      </c>
    </row>
    <row r="69" spans="1:4" x14ac:dyDescent="0.3">
      <c r="A69" s="21"/>
      <c r="B69" s="3"/>
      <c r="C69" s="3"/>
      <c r="D69" s="22"/>
    </row>
    <row r="70" spans="1:4" ht="28.2" x14ac:dyDescent="0.3">
      <c r="A70" s="21"/>
      <c r="B70" s="45"/>
      <c r="C70" s="47" t="s">
        <v>13</v>
      </c>
      <c r="D70" s="51">
        <f>+C68-D68</f>
        <v>251.25285714285712</v>
      </c>
    </row>
    <row r="71" spans="1:4" x14ac:dyDescent="0.3">
      <c r="A71" s="21"/>
      <c r="B71" s="3"/>
      <c r="C71" s="3"/>
      <c r="D71" s="22"/>
    </row>
    <row r="72" spans="1:4" x14ac:dyDescent="0.3">
      <c r="A72" s="23"/>
      <c r="B72" s="4" t="s">
        <v>14</v>
      </c>
      <c r="C72" s="2"/>
      <c r="D72" s="24"/>
    </row>
    <row r="73" spans="1:4" ht="15" thickBot="1" x14ac:dyDescent="0.35">
      <c r="A73" s="23"/>
      <c r="B73" s="9"/>
      <c r="C73" s="9"/>
      <c r="D73" s="24"/>
    </row>
    <row r="74" spans="1:4" x14ac:dyDescent="0.3">
      <c r="A74" s="300" t="s">
        <v>28</v>
      </c>
      <c r="B74" s="300" t="s">
        <v>93</v>
      </c>
      <c r="C74" s="302" t="s">
        <v>30</v>
      </c>
      <c r="D74" s="303"/>
    </row>
    <row r="75" spans="1:4" ht="15" thickBot="1" x14ac:dyDescent="0.35">
      <c r="A75" s="301"/>
      <c r="B75" s="301"/>
      <c r="C75" s="304"/>
      <c r="D75" s="305"/>
    </row>
    <row r="76" spans="1:4" x14ac:dyDescent="0.3">
      <c r="A76" s="37"/>
      <c r="B76" s="34"/>
      <c r="C76" s="32"/>
      <c r="D76" s="25"/>
    </row>
    <row r="77" spans="1:4" x14ac:dyDescent="0.3">
      <c r="A77" s="37"/>
      <c r="B77" s="34"/>
      <c r="C77" s="32"/>
      <c r="D77" s="25"/>
    </row>
    <row r="78" spans="1:4" x14ac:dyDescent="0.3">
      <c r="A78" s="37"/>
      <c r="B78" s="34"/>
      <c r="C78" s="32"/>
      <c r="D78" s="25"/>
    </row>
    <row r="79" spans="1:4" x14ac:dyDescent="0.3">
      <c r="A79" s="37"/>
      <c r="B79" s="34"/>
      <c r="C79" s="32"/>
      <c r="D79" s="25"/>
    </row>
    <row r="80" spans="1:4" x14ac:dyDescent="0.3">
      <c r="A80" s="37"/>
      <c r="B80" s="34"/>
      <c r="C80" s="32"/>
      <c r="D80" s="25"/>
    </row>
    <row r="81" spans="1:4" x14ac:dyDescent="0.3">
      <c r="A81" s="37"/>
      <c r="B81" s="34"/>
      <c r="C81" s="32"/>
      <c r="D81" s="25"/>
    </row>
    <row r="82" spans="1:4" x14ac:dyDescent="0.3">
      <c r="A82" s="37"/>
      <c r="B82" s="34"/>
      <c r="C82" s="32"/>
      <c r="D82" s="25"/>
    </row>
    <row r="83" spans="1:4" x14ac:dyDescent="0.3">
      <c r="A83" s="37"/>
      <c r="B83" s="34"/>
      <c r="C83" s="32"/>
      <c r="D83" s="25"/>
    </row>
    <row r="84" spans="1:4" x14ac:dyDescent="0.3">
      <c r="A84" s="37"/>
      <c r="B84" s="34"/>
      <c r="C84" s="32"/>
      <c r="D84" s="25"/>
    </row>
    <row r="85" spans="1:4" x14ac:dyDescent="0.3">
      <c r="A85" s="37"/>
      <c r="B85" s="34"/>
      <c r="C85" s="32"/>
      <c r="D85" s="25"/>
    </row>
    <row r="86" spans="1:4" x14ac:dyDescent="0.3">
      <c r="A86" s="38" t="s">
        <v>245</v>
      </c>
      <c r="B86" s="35" t="s">
        <v>247</v>
      </c>
      <c r="C86" s="290" t="s">
        <v>91</v>
      </c>
      <c r="D86" s="291"/>
    </row>
    <row r="87" spans="1:4" ht="15" thickBot="1" x14ac:dyDescent="0.35">
      <c r="A87" s="36" t="s">
        <v>246</v>
      </c>
      <c r="B87" s="33" t="s">
        <v>23</v>
      </c>
      <c r="C87" s="292" t="s">
        <v>92</v>
      </c>
      <c r="D87" s="293"/>
    </row>
    <row r="93" spans="1:4" ht="15" thickBot="1" x14ac:dyDescent="0.35"/>
    <row r="94" spans="1:4" ht="25.2" x14ac:dyDescent="0.3">
      <c r="A94" s="294"/>
      <c r="B94" s="295"/>
      <c r="C94" s="295"/>
      <c r="D94" s="296"/>
    </row>
    <row r="95" spans="1:4" x14ac:dyDescent="0.3">
      <c r="A95" s="31"/>
      <c r="B95" s="48"/>
      <c r="C95" s="2"/>
      <c r="D95" s="30"/>
    </row>
    <row r="96" spans="1:4" x14ac:dyDescent="0.3">
      <c r="A96" s="31"/>
      <c r="B96" s="49"/>
      <c r="C96" s="2"/>
      <c r="D96" s="30"/>
    </row>
    <row r="97" spans="1:4" x14ac:dyDescent="0.3">
      <c r="A97" s="31"/>
      <c r="B97" s="49"/>
      <c r="C97" s="2"/>
      <c r="D97" s="30"/>
    </row>
    <row r="98" spans="1:4" ht="15" thickBot="1" x14ac:dyDescent="0.35">
      <c r="A98" s="31"/>
      <c r="B98" s="2"/>
      <c r="C98" s="2"/>
      <c r="D98" s="30"/>
    </row>
    <row r="99" spans="1:4" ht="25.8" thickBot="1" x14ac:dyDescent="0.35">
      <c r="A99" s="297" t="s">
        <v>0</v>
      </c>
      <c r="B99" s="298"/>
      <c r="C99" s="298"/>
      <c r="D99" s="299"/>
    </row>
    <row r="100" spans="1:4" ht="25.2" x14ac:dyDescent="0.3">
      <c r="A100" s="52"/>
      <c r="B100" s="53"/>
      <c r="C100" s="53"/>
      <c r="D100" s="54"/>
    </row>
    <row r="101" spans="1:4" x14ac:dyDescent="0.3">
      <c r="A101" s="11" t="s">
        <v>1</v>
      </c>
      <c r="B101" s="3" t="s">
        <v>88</v>
      </c>
      <c r="C101" s="3"/>
      <c r="D101" s="12"/>
    </row>
    <row r="102" spans="1:4" x14ac:dyDescent="0.3">
      <c r="A102" s="11" t="s">
        <v>2</v>
      </c>
      <c r="B102" s="10" t="s">
        <v>89</v>
      </c>
      <c r="C102" s="4"/>
      <c r="D102" s="13"/>
    </row>
    <row r="103" spans="1:4" x14ac:dyDescent="0.3">
      <c r="A103" s="11" t="s">
        <v>3</v>
      </c>
      <c r="B103" s="3" t="s">
        <v>90</v>
      </c>
      <c r="C103" s="4"/>
      <c r="D103" s="14"/>
    </row>
    <row r="104" spans="1:4" x14ac:dyDescent="0.3">
      <c r="A104" s="11" t="s">
        <v>26</v>
      </c>
      <c r="B104" s="3" t="s">
        <v>113</v>
      </c>
      <c r="C104" s="4"/>
      <c r="D104" s="15"/>
    </row>
    <row r="105" spans="1:4" x14ac:dyDescent="0.3">
      <c r="A105" s="11" t="s">
        <v>99</v>
      </c>
      <c r="B105" s="55">
        <v>2022</v>
      </c>
      <c r="C105" s="4"/>
      <c r="D105" s="15"/>
    </row>
    <row r="106" spans="1:4" x14ac:dyDescent="0.3">
      <c r="A106" s="16"/>
      <c r="B106" s="5"/>
      <c r="C106" s="5"/>
      <c r="D106" s="17"/>
    </row>
    <row r="107" spans="1:4" x14ac:dyDescent="0.3">
      <c r="A107" s="39" t="s">
        <v>4</v>
      </c>
      <c r="B107" s="40"/>
      <c r="C107" s="41" t="s">
        <v>5</v>
      </c>
      <c r="D107" s="42" t="s">
        <v>6</v>
      </c>
    </row>
    <row r="108" spans="1:4" x14ac:dyDescent="0.3">
      <c r="A108" s="18"/>
      <c r="B108" s="6"/>
      <c r="C108" s="7"/>
      <c r="D108" s="19"/>
    </row>
    <row r="109" spans="1:4" x14ac:dyDescent="0.3">
      <c r="A109" s="26" t="s">
        <v>16</v>
      </c>
      <c r="B109" s="27"/>
      <c r="C109" s="28">
        <v>527</v>
      </c>
      <c r="D109" s="29"/>
    </row>
    <row r="110" spans="1:4" x14ac:dyDescent="0.3">
      <c r="A110" s="26" t="s">
        <v>100</v>
      </c>
      <c r="B110" s="27"/>
      <c r="C110" s="56"/>
      <c r="D110" s="29"/>
    </row>
    <row r="111" spans="1:4" x14ac:dyDescent="0.3">
      <c r="A111" s="26" t="s">
        <v>8</v>
      </c>
      <c r="B111" s="27"/>
      <c r="C111" s="28"/>
      <c r="D111" s="29"/>
    </row>
    <row r="112" spans="1:4" x14ac:dyDescent="0.3">
      <c r="A112" s="26" t="s">
        <v>9</v>
      </c>
      <c r="B112" s="27"/>
      <c r="C112" s="28"/>
      <c r="D112" s="29"/>
    </row>
    <row r="113" spans="1:4" x14ac:dyDescent="0.3">
      <c r="A113" s="26"/>
      <c r="B113" s="27" t="s">
        <v>19</v>
      </c>
      <c r="C113" s="28"/>
      <c r="D113" s="29">
        <f>C109*9.45%</f>
        <v>49.80149999999999</v>
      </c>
    </row>
    <row r="114" spans="1:4" x14ac:dyDescent="0.3">
      <c r="A114" s="26"/>
      <c r="B114" s="27" t="s">
        <v>11</v>
      </c>
      <c r="C114" s="28"/>
      <c r="D114" s="29"/>
    </row>
    <row r="115" spans="1:4" x14ac:dyDescent="0.3">
      <c r="A115" s="26"/>
      <c r="B115" s="27" t="s">
        <v>55</v>
      </c>
      <c r="C115" s="28"/>
      <c r="D115" s="29"/>
    </row>
    <row r="116" spans="1:4" x14ac:dyDescent="0.3">
      <c r="A116" s="26"/>
      <c r="B116" s="27" t="s">
        <v>18</v>
      </c>
      <c r="C116" s="28"/>
      <c r="D116" s="29"/>
    </row>
    <row r="117" spans="1:4" x14ac:dyDescent="0.3">
      <c r="A117" s="26"/>
      <c r="B117" s="27"/>
      <c r="C117" s="28"/>
      <c r="D117" s="29"/>
    </row>
    <row r="118" spans="1:4" x14ac:dyDescent="0.3">
      <c r="A118" s="26"/>
      <c r="B118" s="27"/>
      <c r="C118" s="28"/>
      <c r="D118" s="29"/>
    </row>
    <row r="119" spans="1:4" x14ac:dyDescent="0.3">
      <c r="A119" s="21"/>
      <c r="B119" s="8"/>
      <c r="C119" s="1"/>
      <c r="D119" s="20"/>
    </row>
    <row r="120" spans="1:4" x14ac:dyDescent="0.3">
      <c r="A120" s="43"/>
      <c r="B120" s="44" t="s">
        <v>12</v>
      </c>
      <c r="C120" s="46">
        <f>SUM(C109:C119)</f>
        <v>527</v>
      </c>
      <c r="D120" s="50">
        <f>SUM(D109:D119)</f>
        <v>49.80149999999999</v>
      </c>
    </row>
    <row r="121" spans="1:4" x14ac:dyDescent="0.3">
      <c r="A121" s="21"/>
      <c r="B121" s="3"/>
      <c r="C121" s="3"/>
      <c r="D121" s="22"/>
    </row>
    <row r="122" spans="1:4" ht="28.2" x14ac:dyDescent="0.3">
      <c r="A122" s="21"/>
      <c r="B122" s="45"/>
      <c r="C122" s="47" t="s">
        <v>13</v>
      </c>
      <c r="D122" s="51">
        <f>+C120-D120</f>
        <v>477.19850000000002</v>
      </c>
    </row>
    <row r="123" spans="1:4" x14ac:dyDescent="0.3">
      <c r="A123" s="21"/>
      <c r="B123" s="3"/>
      <c r="C123" s="3"/>
      <c r="D123" s="22"/>
    </row>
    <row r="124" spans="1:4" x14ac:dyDescent="0.3">
      <c r="A124" s="23"/>
      <c r="B124" s="4" t="s">
        <v>14</v>
      </c>
      <c r="C124" s="2"/>
      <c r="D124" s="24"/>
    </row>
    <row r="125" spans="1:4" ht="15" thickBot="1" x14ac:dyDescent="0.35">
      <c r="A125" s="23"/>
      <c r="B125" s="9"/>
      <c r="C125" s="9"/>
      <c r="D125" s="24"/>
    </row>
    <row r="126" spans="1:4" x14ac:dyDescent="0.3">
      <c r="A126" s="300" t="s">
        <v>28</v>
      </c>
      <c r="B126" s="300" t="s">
        <v>93</v>
      </c>
      <c r="C126" s="302" t="s">
        <v>30</v>
      </c>
      <c r="D126" s="303"/>
    </row>
    <row r="127" spans="1:4" ht="15" thickBot="1" x14ac:dyDescent="0.35">
      <c r="A127" s="301"/>
      <c r="B127" s="301"/>
      <c r="C127" s="304"/>
      <c r="D127" s="305"/>
    </row>
    <row r="128" spans="1:4" x14ac:dyDescent="0.3">
      <c r="A128" s="37"/>
      <c r="B128" s="34"/>
      <c r="C128" s="32"/>
      <c r="D128" s="25"/>
    </row>
    <row r="129" spans="1:4" x14ac:dyDescent="0.3">
      <c r="A129" s="37"/>
      <c r="B129" s="34"/>
      <c r="C129" s="32"/>
      <c r="D129" s="25"/>
    </row>
    <row r="130" spans="1:4" x14ac:dyDescent="0.3">
      <c r="A130" s="37"/>
      <c r="B130" s="34"/>
      <c r="C130" s="32"/>
      <c r="D130" s="25"/>
    </row>
    <row r="131" spans="1:4" x14ac:dyDescent="0.3">
      <c r="A131" s="37"/>
      <c r="B131" s="34"/>
      <c r="C131" s="32"/>
      <c r="D131" s="25"/>
    </row>
    <row r="132" spans="1:4" x14ac:dyDescent="0.3">
      <c r="A132" s="37"/>
      <c r="B132" s="34"/>
      <c r="C132" s="32"/>
      <c r="D132" s="25"/>
    </row>
    <row r="133" spans="1:4" x14ac:dyDescent="0.3">
      <c r="A133" s="37"/>
      <c r="B133" s="34"/>
      <c r="C133" s="32"/>
      <c r="D133" s="25"/>
    </row>
    <row r="134" spans="1:4" x14ac:dyDescent="0.3">
      <c r="A134" s="37"/>
      <c r="B134" s="34"/>
      <c r="C134" s="32"/>
      <c r="D134" s="25"/>
    </row>
    <row r="135" spans="1:4" x14ac:dyDescent="0.3">
      <c r="A135" s="37"/>
      <c r="B135" s="34"/>
      <c r="C135" s="32"/>
      <c r="D135" s="25"/>
    </row>
    <row r="136" spans="1:4" x14ac:dyDescent="0.3">
      <c r="A136" s="37"/>
      <c r="B136" s="34"/>
      <c r="C136" s="32"/>
      <c r="D136" s="25"/>
    </row>
    <row r="137" spans="1:4" x14ac:dyDescent="0.3">
      <c r="A137" s="37"/>
      <c r="B137" s="34"/>
      <c r="C137" s="32"/>
      <c r="D137" s="25"/>
    </row>
    <row r="138" spans="1:4" x14ac:dyDescent="0.3">
      <c r="A138" s="38" t="s">
        <v>20</v>
      </c>
      <c r="B138" s="35" t="s">
        <v>21</v>
      </c>
      <c r="C138" s="290" t="s">
        <v>91</v>
      </c>
      <c r="D138" s="291"/>
    </row>
    <row r="139" spans="1:4" ht="15" thickBot="1" x14ac:dyDescent="0.35">
      <c r="A139" s="36" t="s">
        <v>22</v>
      </c>
      <c r="B139" s="33" t="s">
        <v>23</v>
      </c>
      <c r="C139" s="292" t="s">
        <v>92</v>
      </c>
      <c r="D139" s="293"/>
    </row>
    <row r="143" spans="1:4" ht="15" thickBot="1" x14ac:dyDescent="0.35"/>
    <row r="144" spans="1:4" ht="25.2" x14ac:dyDescent="0.3">
      <c r="A144" s="294"/>
      <c r="B144" s="295"/>
      <c r="C144" s="295"/>
      <c r="D144" s="296"/>
    </row>
    <row r="145" spans="1:4" x14ac:dyDescent="0.3">
      <c r="A145" s="31"/>
      <c r="B145" s="48"/>
      <c r="C145" s="2"/>
      <c r="D145" s="30"/>
    </row>
    <row r="146" spans="1:4" x14ac:dyDescent="0.3">
      <c r="A146" s="31"/>
      <c r="B146" s="49"/>
      <c r="C146" s="2"/>
      <c r="D146" s="30"/>
    </row>
    <row r="147" spans="1:4" x14ac:dyDescent="0.3">
      <c r="A147" s="31"/>
      <c r="B147" s="49"/>
      <c r="C147" s="2"/>
      <c r="D147" s="30"/>
    </row>
    <row r="148" spans="1:4" ht="15" thickBot="1" x14ac:dyDescent="0.35">
      <c r="A148" s="31"/>
      <c r="B148" s="2"/>
      <c r="C148" s="2"/>
      <c r="D148" s="30"/>
    </row>
    <row r="149" spans="1:4" ht="25.8" thickBot="1" x14ac:dyDescent="0.35">
      <c r="A149" s="297" t="s">
        <v>0</v>
      </c>
      <c r="B149" s="298"/>
      <c r="C149" s="298"/>
      <c r="D149" s="299"/>
    </row>
    <row r="150" spans="1:4" ht="25.2" x14ac:dyDescent="0.3">
      <c r="A150" s="52"/>
      <c r="B150" s="53"/>
      <c r="C150" s="53"/>
      <c r="D150" s="54"/>
    </row>
    <row r="151" spans="1:4" x14ac:dyDescent="0.3">
      <c r="A151" s="11" t="s">
        <v>1</v>
      </c>
      <c r="B151" s="3" t="s">
        <v>88</v>
      </c>
      <c r="C151" s="3"/>
      <c r="D151" s="12"/>
    </row>
    <row r="152" spans="1:4" x14ac:dyDescent="0.3">
      <c r="A152" s="11" t="s">
        <v>2</v>
      </c>
      <c r="B152" s="10" t="s">
        <v>89</v>
      </c>
      <c r="C152" s="4"/>
      <c r="D152" s="13"/>
    </row>
    <row r="153" spans="1:4" x14ac:dyDescent="0.3">
      <c r="A153" s="11" t="s">
        <v>3</v>
      </c>
      <c r="B153" s="3" t="s">
        <v>90</v>
      </c>
      <c r="C153" s="4"/>
      <c r="D153" s="14"/>
    </row>
    <row r="154" spans="1:4" x14ac:dyDescent="0.3">
      <c r="A154" s="11" t="s">
        <v>26</v>
      </c>
      <c r="B154" s="3" t="s">
        <v>117</v>
      </c>
      <c r="C154" s="4"/>
      <c r="D154" s="15"/>
    </row>
    <row r="155" spans="1:4" x14ac:dyDescent="0.3">
      <c r="A155" s="11" t="s">
        <v>99</v>
      </c>
      <c r="B155" s="55">
        <v>2022</v>
      </c>
      <c r="C155" s="4"/>
      <c r="D155" s="15"/>
    </row>
    <row r="156" spans="1:4" x14ac:dyDescent="0.3">
      <c r="A156" s="16"/>
      <c r="B156" s="5"/>
      <c r="C156" s="5"/>
      <c r="D156" s="17"/>
    </row>
    <row r="157" spans="1:4" x14ac:dyDescent="0.3">
      <c r="A157" s="39" t="s">
        <v>4</v>
      </c>
      <c r="B157" s="40"/>
      <c r="C157" s="41" t="s">
        <v>5</v>
      </c>
      <c r="D157" s="42" t="s">
        <v>6</v>
      </c>
    </row>
    <row r="158" spans="1:4" x14ac:dyDescent="0.3">
      <c r="A158" s="18"/>
      <c r="B158" s="6"/>
      <c r="C158" s="7"/>
      <c r="D158" s="19"/>
    </row>
    <row r="159" spans="1:4" x14ac:dyDescent="0.3">
      <c r="A159" s="26" t="s">
        <v>16</v>
      </c>
      <c r="B159" s="27"/>
      <c r="C159" s="28">
        <v>527</v>
      </c>
      <c r="D159" s="29"/>
    </row>
    <row r="160" spans="1:4" x14ac:dyDescent="0.3">
      <c r="A160" s="26" t="s">
        <v>100</v>
      </c>
      <c r="B160" s="27"/>
      <c r="C160" s="56"/>
      <c r="D160" s="29"/>
    </row>
    <row r="161" spans="1:4" x14ac:dyDescent="0.3">
      <c r="A161" s="26" t="s">
        <v>8</v>
      </c>
      <c r="B161" s="27"/>
      <c r="C161" s="28"/>
      <c r="D161" s="29"/>
    </row>
    <row r="162" spans="1:4" x14ac:dyDescent="0.3">
      <c r="A162" s="26" t="s">
        <v>9</v>
      </c>
      <c r="B162" s="27"/>
      <c r="C162" s="28"/>
      <c r="D162" s="29"/>
    </row>
    <row r="163" spans="1:4" x14ac:dyDescent="0.3">
      <c r="A163" s="26"/>
      <c r="B163" s="27" t="s">
        <v>19</v>
      </c>
      <c r="C163" s="28"/>
      <c r="D163" s="29">
        <f>C159*9.45%</f>
        <v>49.80149999999999</v>
      </c>
    </row>
    <row r="164" spans="1:4" x14ac:dyDescent="0.3">
      <c r="A164" s="26"/>
      <c r="B164" s="27" t="s">
        <v>11</v>
      </c>
      <c r="C164" s="28"/>
      <c r="D164" s="29"/>
    </row>
    <row r="165" spans="1:4" x14ac:dyDescent="0.3">
      <c r="A165" s="26"/>
      <c r="B165" s="27" t="s">
        <v>55</v>
      </c>
      <c r="C165" s="28"/>
      <c r="D165" s="29"/>
    </row>
    <row r="166" spans="1:4" x14ac:dyDescent="0.3">
      <c r="A166" s="26"/>
      <c r="B166" s="27" t="s">
        <v>18</v>
      </c>
      <c r="C166" s="28"/>
      <c r="D166" s="29"/>
    </row>
    <row r="167" spans="1:4" x14ac:dyDescent="0.3">
      <c r="A167" s="26"/>
      <c r="B167" s="27"/>
      <c r="C167" s="28"/>
      <c r="D167" s="29"/>
    </row>
    <row r="168" spans="1:4" x14ac:dyDescent="0.3">
      <c r="A168" s="26"/>
      <c r="B168" s="27"/>
      <c r="C168" s="28"/>
      <c r="D168" s="29"/>
    </row>
    <row r="169" spans="1:4" x14ac:dyDescent="0.3">
      <c r="A169" s="21"/>
      <c r="B169" s="8"/>
      <c r="C169" s="1"/>
      <c r="D169" s="20"/>
    </row>
    <row r="170" spans="1:4" x14ac:dyDescent="0.3">
      <c r="A170" s="43"/>
      <c r="B170" s="44" t="s">
        <v>12</v>
      </c>
      <c r="C170" s="46">
        <f>SUM(C159:C169)</f>
        <v>527</v>
      </c>
      <c r="D170" s="50">
        <f>SUM(D159:D169)</f>
        <v>49.80149999999999</v>
      </c>
    </row>
    <row r="171" spans="1:4" x14ac:dyDescent="0.3">
      <c r="A171" s="21"/>
      <c r="B171" s="3"/>
      <c r="C171" s="3"/>
      <c r="D171" s="22"/>
    </row>
    <row r="172" spans="1:4" ht="28.2" x14ac:dyDescent="0.3">
      <c r="A172" s="21"/>
      <c r="B172" s="45"/>
      <c r="C172" s="47" t="s">
        <v>13</v>
      </c>
      <c r="D172" s="51">
        <f>+C170-D170</f>
        <v>477.19850000000002</v>
      </c>
    </row>
    <row r="173" spans="1:4" x14ac:dyDescent="0.3">
      <c r="A173" s="21"/>
      <c r="B173" s="3"/>
      <c r="C173" s="3"/>
      <c r="D173" s="22"/>
    </row>
    <row r="174" spans="1:4" x14ac:dyDescent="0.3">
      <c r="A174" s="23"/>
      <c r="B174" s="4" t="s">
        <v>14</v>
      </c>
      <c r="C174" s="2"/>
      <c r="D174" s="24"/>
    </row>
    <row r="175" spans="1:4" ht="15" thickBot="1" x14ac:dyDescent="0.35">
      <c r="A175" s="23"/>
      <c r="B175" s="9"/>
      <c r="C175" s="9"/>
      <c r="D175" s="24"/>
    </row>
    <row r="176" spans="1:4" x14ac:dyDescent="0.3">
      <c r="A176" s="300" t="s">
        <v>28</v>
      </c>
      <c r="B176" s="300" t="s">
        <v>93</v>
      </c>
      <c r="C176" s="302" t="s">
        <v>30</v>
      </c>
      <c r="D176" s="303"/>
    </row>
    <row r="177" spans="1:4" ht="15" thickBot="1" x14ac:dyDescent="0.35">
      <c r="A177" s="301"/>
      <c r="B177" s="301"/>
      <c r="C177" s="304"/>
      <c r="D177" s="305"/>
    </row>
    <row r="178" spans="1:4" x14ac:dyDescent="0.3">
      <c r="A178" s="37"/>
      <c r="B178" s="34"/>
      <c r="C178" s="32"/>
      <c r="D178" s="25"/>
    </row>
    <row r="179" spans="1:4" x14ac:dyDescent="0.3">
      <c r="A179" s="37"/>
      <c r="B179" s="34"/>
      <c r="C179" s="32"/>
      <c r="D179" s="25"/>
    </row>
    <row r="180" spans="1:4" x14ac:dyDescent="0.3">
      <c r="A180" s="37"/>
      <c r="B180" s="34"/>
      <c r="C180" s="32"/>
      <c r="D180" s="25"/>
    </row>
    <row r="181" spans="1:4" x14ac:dyDescent="0.3">
      <c r="A181" s="37"/>
      <c r="B181" s="34"/>
      <c r="C181" s="32"/>
      <c r="D181" s="25"/>
    </row>
    <row r="182" spans="1:4" x14ac:dyDescent="0.3">
      <c r="A182" s="37"/>
      <c r="B182" s="34"/>
      <c r="C182" s="32"/>
      <c r="D182" s="25"/>
    </row>
    <row r="183" spans="1:4" x14ac:dyDescent="0.3">
      <c r="A183" s="37"/>
      <c r="B183" s="34"/>
      <c r="C183" s="32"/>
      <c r="D183" s="25"/>
    </row>
    <row r="184" spans="1:4" x14ac:dyDescent="0.3">
      <c r="A184" s="37"/>
      <c r="B184" s="34"/>
      <c r="C184" s="32"/>
      <c r="D184" s="25"/>
    </row>
    <row r="185" spans="1:4" x14ac:dyDescent="0.3">
      <c r="A185" s="37"/>
      <c r="B185" s="34"/>
      <c r="C185" s="32"/>
      <c r="D185" s="25"/>
    </row>
    <row r="186" spans="1:4" x14ac:dyDescent="0.3">
      <c r="A186" s="37"/>
      <c r="B186" s="34"/>
      <c r="C186" s="32"/>
      <c r="D186" s="25"/>
    </row>
    <row r="187" spans="1:4" x14ac:dyDescent="0.3">
      <c r="A187" s="37"/>
      <c r="B187" s="34"/>
      <c r="C187" s="32"/>
      <c r="D187" s="25"/>
    </row>
    <row r="188" spans="1:4" x14ac:dyDescent="0.3">
      <c r="A188" s="38" t="s">
        <v>20</v>
      </c>
      <c r="B188" s="35" t="s">
        <v>21</v>
      </c>
      <c r="C188" s="290" t="s">
        <v>91</v>
      </c>
      <c r="D188" s="291"/>
    </row>
    <row r="189" spans="1:4" ht="15" thickBot="1" x14ac:dyDescent="0.35">
      <c r="A189" s="36" t="s">
        <v>22</v>
      </c>
      <c r="B189" s="33" t="s">
        <v>23</v>
      </c>
      <c r="C189" s="292" t="s">
        <v>92</v>
      </c>
      <c r="D189" s="293"/>
    </row>
    <row r="193" spans="1:4" ht="15" thickBot="1" x14ac:dyDescent="0.35"/>
    <row r="194" spans="1:4" ht="25.2" x14ac:dyDescent="0.3">
      <c r="A194" s="294"/>
      <c r="B194" s="295"/>
      <c r="C194" s="295"/>
      <c r="D194" s="296"/>
    </row>
    <row r="195" spans="1:4" x14ac:dyDescent="0.3">
      <c r="A195" s="31"/>
      <c r="B195" s="48"/>
      <c r="C195" s="2"/>
      <c r="D195" s="30"/>
    </row>
    <row r="196" spans="1:4" x14ac:dyDescent="0.3">
      <c r="A196" s="31"/>
      <c r="B196" s="49"/>
      <c r="C196" s="2"/>
      <c r="D196" s="30"/>
    </row>
    <row r="197" spans="1:4" x14ac:dyDescent="0.3">
      <c r="A197" s="31"/>
      <c r="B197" s="49"/>
      <c r="C197" s="2"/>
      <c r="D197" s="30"/>
    </row>
    <row r="198" spans="1:4" ht="15" thickBot="1" x14ac:dyDescent="0.35">
      <c r="A198" s="31"/>
      <c r="B198" s="2"/>
      <c r="C198" s="2"/>
      <c r="D198" s="30"/>
    </row>
    <row r="199" spans="1:4" ht="25.8" thickBot="1" x14ac:dyDescent="0.35">
      <c r="A199" s="297" t="s">
        <v>0</v>
      </c>
      <c r="B199" s="298"/>
      <c r="C199" s="298"/>
      <c r="D199" s="299"/>
    </row>
    <row r="200" spans="1:4" ht="25.2" x14ac:dyDescent="0.3">
      <c r="A200" s="52"/>
      <c r="B200" s="53"/>
      <c r="C200" s="53"/>
      <c r="D200" s="54"/>
    </row>
    <row r="201" spans="1:4" x14ac:dyDescent="0.3">
      <c r="A201" s="11" t="s">
        <v>1</v>
      </c>
      <c r="B201" s="3" t="s">
        <v>88</v>
      </c>
      <c r="C201" s="3"/>
      <c r="D201" s="12"/>
    </row>
    <row r="202" spans="1:4" x14ac:dyDescent="0.3">
      <c r="A202" s="11" t="s">
        <v>2</v>
      </c>
      <c r="B202" s="10" t="s">
        <v>89</v>
      </c>
      <c r="C202" s="4"/>
      <c r="D202" s="13"/>
    </row>
    <row r="203" spans="1:4" x14ac:dyDescent="0.3">
      <c r="A203" s="11" t="s">
        <v>3</v>
      </c>
      <c r="B203" s="3" t="s">
        <v>90</v>
      </c>
      <c r="C203" s="4"/>
      <c r="D203" s="14"/>
    </row>
    <row r="204" spans="1:4" x14ac:dyDescent="0.3">
      <c r="A204" s="11" t="s">
        <v>26</v>
      </c>
      <c r="B204" s="3" t="s">
        <v>119</v>
      </c>
      <c r="C204" s="4"/>
      <c r="D204" s="15"/>
    </row>
    <row r="205" spans="1:4" x14ac:dyDescent="0.3">
      <c r="A205" s="11" t="s">
        <v>99</v>
      </c>
      <c r="B205" s="55">
        <v>2022</v>
      </c>
      <c r="C205" s="4"/>
      <c r="D205" s="15"/>
    </row>
    <row r="206" spans="1:4" x14ac:dyDescent="0.3">
      <c r="A206" s="16"/>
      <c r="B206" s="5"/>
      <c r="C206" s="5"/>
      <c r="D206" s="17"/>
    </row>
    <row r="207" spans="1:4" x14ac:dyDescent="0.3">
      <c r="A207" s="39" t="s">
        <v>4</v>
      </c>
      <c r="B207" s="40"/>
      <c r="C207" s="41" t="s">
        <v>5</v>
      </c>
      <c r="D207" s="42" t="s">
        <v>6</v>
      </c>
    </row>
    <row r="208" spans="1:4" x14ac:dyDescent="0.3">
      <c r="A208" s="18"/>
      <c r="B208" s="6"/>
      <c r="C208" s="7"/>
      <c r="D208" s="19"/>
    </row>
    <row r="209" spans="1:4" x14ac:dyDescent="0.3">
      <c r="A209" s="26" t="s">
        <v>16</v>
      </c>
      <c r="B209" s="27"/>
      <c r="C209" s="28">
        <v>527</v>
      </c>
      <c r="D209" s="29"/>
    </row>
    <row r="210" spans="1:4" x14ac:dyDescent="0.3">
      <c r="A210" s="26" t="s">
        <v>100</v>
      </c>
      <c r="B210" s="27"/>
      <c r="C210" s="56"/>
      <c r="D210" s="29"/>
    </row>
    <row r="211" spans="1:4" x14ac:dyDescent="0.3">
      <c r="A211" s="26" t="s">
        <v>8</v>
      </c>
      <c r="B211" s="27"/>
      <c r="C211" s="28"/>
      <c r="D211" s="29"/>
    </row>
    <row r="212" spans="1:4" x14ac:dyDescent="0.3">
      <c r="A212" s="26" t="s">
        <v>9</v>
      </c>
      <c r="B212" s="27"/>
      <c r="C212" s="28"/>
      <c r="D212" s="29"/>
    </row>
    <row r="213" spans="1:4" x14ac:dyDescent="0.3">
      <c r="A213" s="26"/>
      <c r="B213" s="27" t="s">
        <v>19</v>
      </c>
      <c r="C213" s="28"/>
      <c r="D213" s="29">
        <f>C209*9.45%</f>
        <v>49.80149999999999</v>
      </c>
    </row>
    <row r="214" spans="1:4" x14ac:dyDescent="0.3">
      <c r="A214" s="26"/>
      <c r="B214" s="27" t="s">
        <v>11</v>
      </c>
      <c r="C214" s="28"/>
      <c r="D214" s="29"/>
    </row>
    <row r="215" spans="1:4" x14ac:dyDescent="0.3">
      <c r="A215" s="26"/>
      <c r="B215" s="27" t="s">
        <v>55</v>
      </c>
      <c r="C215" s="28"/>
      <c r="D215" s="29"/>
    </row>
    <row r="216" spans="1:4" x14ac:dyDescent="0.3">
      <c r="A216" s="26"/>
      <c r="B216" s="27" t="s">
        <v>18</v>
      </c>
      <c r="C216" s="28"/>
      <c r="D216" s="29"/>
    </row>
    <row r="217" spans="1:4" x14ac:dyDescent="0.3">
      <c r="A217" s="26"/>
      <c r="B217" s="27"/>
      <c r="C217" s="28"/>
      <c r="D217" s="29"/>
    </row>
    <row r="218" spans="1:4" x14ac:dyDescent="0.3">
      <c r="A218" s="26"/>
      <c r="B218" s="27"/>
      <c r="C218" s="28"/>
      <c r="D218" s="29"/>
    </row>
    <row r="219" spans="1:4" x14ac:dyDescent="0.3">
      <c r="A219" s="21"/>
      <c r="B219" s="8"/>
      <c r="C219" s="1"/>
      <c r="D219" s="20"/>
    </row>
    <row r="220" spans="1:4" x14ac:dyDescent="0.3">
      <c r="A220" s="43"/>
      <c r="B220" s="44" t="s">
        <v>12</v>
      </c>
      <c r="C220" s="46">
        <f>SUM(C209:C219)</f>
        <v>527</v>
      </c>
      <c r="D220" s="50">
        <f>SUM(D209:D219)</f>
        <v>49.80149999999999</v>
      </c>
    </row>
    <row r="221" spans="1:4" x14ac:dyDescent="0.3">
      <c r="A221" s="21"/>
      <c r="B221" s="3"/>
      <c r="C221" s="3"/>
      <c r="D221" s="22"/>
    </row>
    <row r="222" spans="1:4" ht="28.2" x14ac:dyDescent="0.3">
      <c r="A222" s="21"/>
      <c r="B222" s="45"/>
      <c r="C222" s="47" t="s">
        <v>13</v>
      </c>
      <c r="D222" s="51">
        <f>+C220-D220</f>
        <v>477.19850000000002</v>
      </c>
    </row>
    <row r="223" spans="1:4" x14ac:dyDescent="0.3">
      <c r="A223" s="21"/>
      <c r="B223" s="3"/>
      <c r="C223" s="3"/>
      <c r="D223" s="22"/>
    </row>
    <row r="224" spans="1:4" x14ac:dyDescent="0.3">
      <c r="A224" s="23"/>
      <c r="B224" s="4" t="s">
        <v>14</v>
      </c>
      <c r="C224" s="2"/>
      <c r="D224" s="24"/>
    </row>
    <row r="225" spans="1:4" ht="15" thickBot="1" x14ac:dyDescent="0.35">
      <c r="A225" s="23"/>
      <c r="B225" s="9"/>
      <c r="C225" s="9"/>
      <c r="D225" s="24"/>
    </row>
    <row r="226" spans="1:4" x14ac:dyDescent="0.3">
      <c r="A226" s="300" t="s">
        <v>28</v>
      </c>
      <c r="B226" s="300" t="s">
        <v>93</v>
      </c>
      <c r="C226" s="302" t="s">
        <v>30</v>
      </c>
      <c r="D226" s="303"/>
    </row>
    <row r="227" spans="1:4" ht="15" thickBot="1" x14ac:dyDescent="0.35">
      <c r="A227" s="301"/>
      <c r="B227" s="301"/>
      <c r="C227" s="304"/>
      <c r="D227" s="305"/>
    </row>
    <row r="228" spans="1:4" x14ac:dyDescent="0.3">
      <c r="A228" s="37"/>
      <c r="B228" s="34"/>
      <c r="C228" s="32"/>
      <c r="D228" s="25"/>
    </row>
    <row r="229" spans="1:4" x14ac:dyDescent="0.3">
      <c r="A229" s="37"/>
      <c r="B229" s="34"/>
      <c r="C229" s="32"/>
      <c r="D229" s="25"/>
    </row>
    <row r="230" spans="1:4" x14ac:dyDescent="0.3">
      <c r="A230" s="37"/>
      <c r="B230" s="34"/>
      <c r="C230" s="32"/>
      <c r="D230" s="25"/>
    </row>
    <row r="231" spans="1:4" x14ac:dyDescent="0.3">
      <c r="A231" s="37"/>
      <c r="B231" s="34"/>
      <c r="C231" s="32"/>
      <c r="D231" s="25"/>
    </row>
    <row r="232" spans="1:4" x14ac:dyDescent="0.3">
      <c r="A232" s="37"/>
      <c r="B232" s="34"/>
      <c r="C232" s="32"/>
      <c r="D232" s="25"/>
    </row>
    <row r="233" spans="1:4" x14ac:dyDescent="0.3">
      <c r="A233" s="37"/>
      <c r="B233" s="34"/>
      <c r="C233" s="32"/>
      <c r="D233" s="25"/>
    </row>
    <row r="234" spans="1:4" x14ac:dyDescent="0.3">
      <c r="A234" s="37"/>
      <c r="B234" s="34"/>
      <c r="C234" s="32"/>
      <c r="D234" s="25"/>
    </row>
    <row r="235" spans="1:4" x14ac:dyDescent="0.3">
      <c r="A235" s="37"/>
      <c r="B235" s="34"/>
      <c r="C235" s="32"/>
      <c r="D235" s="25"/>
    </row>
    <row r="236" spans="1:4" x14ac:dyDescent="0.3">
      <c r="A236" s="37"/>
      <c r="B236" s="34"/>
      <c r="C236" s="32"/>
      <c r="D236" s="25"/>
    </row>
    <row r="237" spans="1:4" x14ac:dyDescent="0.3">
      <c r="A237" s="37"/>
      <c r="B237" s="34"/>
      <c r="C237" s="32"/>
      <c r="D237" s="25"/>
    </row>
    <row r="238" spans="1:4" x14ac:dyDescent="0.3">
      <c r="A238" s="38" t="s">
        <v>20</v>
      </c>
      <c r="B238" s="35" t="s">
        <v>21</v>
      </c>
      <c r="C238" s="290" t="s">
        <v>91</v>
      </c>
      <c r="D238" s="291"/>
    </row>
    <row r="239" spans="1:4" ht="15" thickBot="1" x14ac:dyDescent="0.35">
      <c r="A239" s="36" t="s">
        <v>22</v>
      </c>
      <c r="B239" s="33" t="s">
        <v>23</v>
      </c>
      <c r="C239" s="292" t="s">
        <v>92</v>
      </c>
      <c r="D239" s="293"/>
    </row>
    <row r="243" spans="1:4" ht="15" thickBot="1" x14ac:dyDescent="0.35"/>
    <row r="244" spans="1:4" ht="25.2" x14ac:dyDescent="0.3">
      <c r="A244" s="294"/>
      <c r="B244" s="295"/>
      <c r="C244" s="295"/>
      <c r="D244" s="296"/>
    </row>
    <row r="245" spans="1:4" x14ac:dyDescent="0.3">
      <c r="A245" s="31"/>
      <c r="B245" s="48"/>
      <c r="C245" s="2"/>
      <c r="D245" s="30"/>
    </row>
    <row r="246" spans="1:4" x14ac:dyDescent="0.3">
      <c r="A246" s="31"/>
      <c r="B246" s="49"/>
      <c r="C246" s="2"/>
      <c r="D246" s="30"/>
    </row>
    <row r="247" spans="1:4" x14ac:dyDescent="0.3">
      <c r="A247" s="31"/>
      <c r="B247" s="49"/>
      <c r="C247" s="2"/>
      <c r="D247" s="30"/>
    </row>
    <row r="248" spans="1:4" ht="15" thickBot="1" x14ac:dyDescent="0.35">
      <c r="A248" s="31"/>
      <c r="B248" s="2"/>
      <c r="C248" s="2"/>
      <c r="D248" s="30"/>
    </row>
    <row r="249" spans="1:4" ht="25.8" thickBot="1" x14ac:dyDescent="0.35">
      <c r="A249" s="297" t="s">
        <v>0</v>
      </c>
      <c r="B249" s="298"/>
      <c r="C249" s="298"/>
      <c r="D249" s="299"/>
    </row>
    <row r="250" spans="1:4" ht="25.2" x14ac:dyDescent="0.3">
      <c r="A250" s="52"/>
      <c r="B250" s="53"/>
      <c r="C250" s="53"/>
      <c r="D250" s="54"/>
    </row>
    <row r="251" spans="1:4" x14ac:dyDescent="0.3">
      <c r="A251" s="11" t="s">
        <v>1</v>
      </c>
      <c r="B251" s="3" t="s">
        <v>88</v>
      </c>
      <c r="C251" s="3"/>
      <c r="D251" s="12"/>
    </row>
    <row r="252" spans="1:4" x14ac:dyDescent="0.3">
      <c r="A252" s="11" t="s">
        <v>2</v>
      </c>
      <c r="B252" s="10" t="s">
        <v>89</v>
      </c>
      <c r="C252" s="4"/>
      <c r="D252" s="13"/>
    </row>
    <row r="253" spans="1:4" x14ac:dyDescent="0.3">
      <c r="A253" s="11" t="s">
        <v>3</v>
      </c>
      <c r="B253" s="3" t="s">
        <v>90</v>
      </c>
      <c r="C253" s="4"/>
      <c r="D253" s="14"/>
    </row>
    <row r="254" spans="1:4" x14ac:dyDescent="0.3">
      <c r="A254" s="11" t="s">
        <v>26</v>
      </c>
      <c r="B254" s="3" t="s">
        <v>120</v>
      </c>
      <c r="C254" s="4"/>
      <c r="D254" s="15"/>
    </row>
    <row r="255" spans="1:4" x14ac:dyDescent="0.3">
      <c r="A255" s="11" t="s">
        <v>99</v>
      </c>
      <c r="B255" s="55">
        <v>2022</v>
      </c>
      <c r="C255" s="4"/>
      <c r="D255" s="15"/>
    </row>
    <row r="256" spans="1:4" x14ac:dyDescent="0.3">
      <c r="A256" s="16"/>
      <c r="B256" s="5"/>
      <c r="C256" s="5"/>
      <c r="D256" s="17"/>
    </row>
    <row r="257" spans="1:4" x14ac:dyDescent="0.3">
      <c r="A257" s="39" t="s">
        <v>4</v>
      </c>
      <c r="B257" s="40"/>
      <c r="C257" s="41" t="s">
        <v>5</v>
      </c>
      <c r="D257" s="42" t="s">
        <v>6</v>
      </c>
    </row>
    <row r="258" spans="1:4" x14ac:dyDescent="0.3">
      <c r="A258" s="18"/>
      <c r="B258" s="6"/>
      <c r="C258" s="7"/>
      <c r="D258" s="19"/>
    </row>
    <row r="259" spans="1:4" x14ac:dyDescent="0.3">
      <c r="A259" s="26" t="s">
        <v>16</v>
      </c>
      <c r="B259" s="27"/>
      <c r="C259" s="28">
        <v>527</v>
      </c>
      <c r="D259" s="29"/>
    </row>
    <row r="260" spans="1:4" x14ac:dyDescent="0.3">
      <c r="A260" s="26" t="s">
        <v>100</v>
      </c>
      <c r="B260" s="27"/>
      <c r="C260" s="56"/>
      <c r="D260" s="29"/>
    </row>
    <row r="261" spans="1:4" x14ac:dyDescent="0.3">
      <c r="A261" s="26" t="s">
        <v>8</v>
      </c>
      <c r="B261" s="27"/>
      <c r="C261" s="28"/>
      <c r="D261" s="29"/>
    </row>
    <row r="262" spans="1:4" x14ac:dyDescent="0.3">
      <c r="A262" s="26" t="s">
        <v>9</v>
      </c>
      <c r="B262" s="27"/>
      <c r="C262" s="28"/>
      <c r="D262" s="29"/>
    </row>
    <row r="263" spans="1:4" x14ac:dyDescent="0.3">
      <c r="A263" s="26"/>
      <c r="B263" s="27" t="s">
        <v>19</v>
      </c>
      <c r="C263" s="28"/>
      <c r="D263" s="29">
        <f>C259*9.45%</f>
        <v>49.80149999999999</v>
      </c>
    </row>
    <row r="264" spans="1:4" x14ac:dyDescent="0.3">
      <c r="A264" s="26"/>
      <c r="B264" s="27" t="s">
        <v>11</v>
      </c>
      <c r="C264" s="28"/>
      <c r="D264" s="29"/>
    </row>
    <row r="265" spans="1:4" x14ac:dyDescent="0.3">
      <c r="A265" s="26"/>
      <c r="B265" s="27" t="s">
        <v>55</v>
      </c>
      <c r="C265" s="28"/>
      <c r="D265" s="29"/>
    </row>
    <row r="266" spans="1:4" x14ac:dyDescent="0.3">
      <c r="A266" s="26"/>
      <c r="B266" s="27" t="s">
        <v>18</v>
      </c>
      <c r="C266" s="28"/>
      <c r="D266" s="29"/>
    </row>
    <row r="267" spans="1:4" x14ac:dyDescent="0.3">
      <c r="A267" s="26"/>
      <c r="B267" s="27"/>
      <c r="C267" s="28"/>
      <c r="D267" s="29"/>
    </row>
    <row r="268" spans="1:4" x14ac:dyDescent="0.3">
      <c r="A268" s="26"/>
      <c r="B268" s="27"/>
      <c r="C268" s="28"/>
      <c r="D268" s="29"/>
    </row>
    <row r="269" spans="1:4" x14ac:dyDescent="0.3">
      <c r="A269" s="21"/>
      <c r="B269" s="8"/>
      <c r="C269" s="1"/>
      <c r="D269" s="20"/>
    </row>
    <row r="270" spans="1:4" x14ac:dyDescent="0.3">
      <c r="A270" s="43"/>
      <c r="B270" s="44" t="s">
        <v>12</v>
      </c>
      <c r="C270" s="46">
        <f>SUM(C259:C269)</f>
        <v>527</v>
      </c>
      <c r="D270" s="50">
        <f>SUM(D259:D269)</f>
        <v>49.80149999999999</v>
      </c>
    </row>
    <row r="271" spans="1:4" x14ac:dyDescent="0.3">
      <c r="A271" s="21"/>
      <c r="B271" s="3"/>
      <c r="C271" s="3"/>
      <c r="D271" s="22"/>
    </row>
    <row r="272" spans="1:4" ht="28.2" x14ac:dyDescent="0.3">
      <c r="A272" s="21"/>
      <c r="B272" s="45"/>
      <c r="C272" s="47" t="s">
        <v>13</v>
      </c>
      <c r="D272" s="51">
        <f>+C270-D270</f>
        <v>477.19850000000002</v>
      </c>
    </row>
    <row r="273" spans="1:4" x14ac:dyDescent="0.3">
      <c r="A273" s="21"/>
      <c r="B273" s="3"/>
      <c r="C273" s="3"/>
      <c r="D273" s="22"/>
    </row>
    <row r="274" spans="1:4" x14ac:dyDescent="0.3">
      <c r="A274" s="23"/>
      <c r="B274" s="4" t="s">
        <v>14</v>
      </c>
      <c r="C274" s="2"/>
      <c r="D274" s="24"/>
    </row>
    <row r="275" spans="1:4" ht="15" thickBot="1" x14ac:dyDescent="0.35">
      <c r="A275" s="23"/>
      <c r="B275" s="9"/>
      <c r="C275" s="9"/>
      <c r="D275" s="24"/>
    </row>
    <row r="276" spans="1:4" x14ac:dyDescent="0.3">
      <c r="A276" s="300" t="s">
        <v>28</v>
      </c>
      <c r="B276" s="300" t="s">
        <v>93</v>
      </c>
      <c r="C276" s="302" t="s">
        <v>30</v>
      </c>
      <c r="D276" s="303"/>
    </row>
    <row r="277" spans="1:4" ht="15" thickBot="1" x14ac:dyDescent="0.35">
      <c r="A277" s="301"/>
      <c r="B277" s="301"/>
      <c r="C277" s="304"/>
      <c r="D277" s="305"/>
    </row>
    <row r="278" spans="1:4" x14ac:dyDescent="0.3">
      <c r="A278" s="37"/>
      <c r="B278" s="34"/>
      <c r="C278" s="32"/>
      <c r="D278" s="25"/>
    </row>
    <row r="279" spans="1:4" x14ac:dyDescent="0.3">
      <c r="A279" s="37"/>
      <c r="B279" s="34"/>
      <c r="C279" s="32"/>
      <c r="D279" s="25"/>
    </row>
    <row r="280" spans="1:4" x14ac:dyDescent="0.3">
      <c r="A280" s="37"/>
      <c r="B280" s="34"/>
      <c r="C280" s="32"/>
      <c r="D280" s="25"/>
    </row>
    <row r="281" spans="1:4" x14ac:dyDescent="0.3">
      <c r="A281" s="37"/>
      <c r="B281" s="34"/>
      <c r="C281" s="32"/>
      <c r="D281" s="25"/>
    </row>
    <row r="282" spans="1:4" x14ac:dyDescent="0.3">
      <c r="A282" s="37"/>
      <c r="B282" s="34"/>
      <c r="C282" s="32"/>
      <c r="D282" s="25"/>
    </row>
    <row r="283" spans="1:4" x14ac:dyDescent="0.3">
      <c r="A283" s="37"/>
      <c r="B283" s="34"/>
      <c r="C283" s="32"/>
      <c r="D283" s="25"/>
    </row>
    <row r="284" spans="1:4" x14ac:dyDescent="0.3">
      <c r="A284" s="37"/>
      <c r="B284" s="34"/>
      <c r="C284" s="32"/>
      <c r="D284" s="25"/>
    </row>
    <row r="285" spans="1:4" x14ac:dyDescent="0.3">
      <c r="A285" s="37"/>
      <c r="B285" s="34"/>
      <c r="C285" s="32"/>
      <c r="D285" s="25"/>
    </row>
    <row r="286" spans="1:4" x14ac:dyDescent="0.3">
      <c r="A286" s="37"/>
      <c r="B286" s="34"/>
      <c r="C286" s="32"/>
      <c r="D286" s="25"/>
    </row>
    <row r="287" spans="1:4" x14ac:dyDescent="0.3">
      <c r="A287" s="37"/>
      <c r="B287" s="34"/>
      <c r="C287" s="32"/>
      <c r="D287" s="25"/>
    </row>
    <row r="288" spans="1:4" x14ac:dyDescent="0.3">
      <c r="A288" s="38" t="s">
        <v>20</v>
      </c>
      <c r="B288" s="35" t="s">
        <v>21</v>
      </c>
      <c r="C288" s="290" t="s">
        <v>91</v>
      </c>
      <c r="D288" s="291"/>
    </row>
    <row r="289" spans="1:4" ht="15" thickBot="1" x14ac:dyDescent="0.35">
      <c r="A289" s="36" t="s">
        <v>22</v>
      </c>
      <c r="B289" s="33" t="s">
        <v>23</v>
      </c>
      <c r="C289" s="292" t="s">
        <v>92</v>
      </c>
      <c r="D289" s="293"/>
    </row>
    <row r="293" spans="1:4" ht="15" thickBot="1" x14ac:dyDescent="0.35"/>
    <row r="294" spans="1:4" ht="25.2" x14ac:dyDescent="0.3">
      <c r="A294" s="294"/>
      <c r="B294" s="295"/>
      <c r="C294" s="295"/>
      <c r="D294" s="296"/>
    </row>
    <row r="295" spans="1:4" x14ac:dyDescent="0.3">
      <c r="A295" s="31"/>
      <c r="B295" s="48"/>
      <c r="C295" s="2"/>
      <c r="D295" s="30"/>
    </row>
    <row r="296" spans="1:4" x14ac:dyDescent="0.3">
      <c r="A296" s="31"/>
      <c r="B296" s="49"/>
      <c r="C296" s="2"/>
      <c r="D296" s="30"/>
    </row>
    <row r="297" spans="1:4" x14ac:dyDescent="0.3">
      <c r="A297" s="31"/>
      <c r="B297" s="49"/>
      <c r="C297" s="2"/>
      <c r="D297" s="30"/>
    </row>
    <row r="298" spans="1:4" ht="15" thickBot="1" x14ac:dyDescent="0.35">
      <c r="A298" s="31"/>
      <c r="B298" s="2"/>
      <c r="C298" s="2"/>
      <c r="D298" s="30"/>
    </row>
    <row r="299" spans="1:4" ht="25.8" thickBot="1" x14ac:dyDescent="0.35">
      <c r="A299" s="297" t="s">
        <v>0</v>
      </c>
      <c r="B299" s="298"/>
      <c r="C299" s="298"/>
      <c r="D299" s="299"/>
    </row>
    <row r="300" spans="1:4" ht="25.2" x14ac:dyDescent="0.3">
      <c r="A300" s="52"/>
      <c r="B300" s="53"/>
      <c r="C300" s="53"/>
      <c r="D300" s="54"/>
    </row>
    <row r="301" spans="1:4" x14ac:dyDescent="0.3">
      <c r="A301" s="11" t="s">
        <v>1</v>
      </c>
      <c r="B301" s="3" t="s">
        <v>88</v>
      </c>
      <c r="C301" s="3"/>
      <c r="D301" s="12"/>
    </row>
    <row r="302" spans="1:4" x14ac:dyDescent="0.3">
      <c r="A302" s="11" t="s">
        <v>2</v>
      </c>
      <c r="B302" s="10" t="s">
        <v>89</v>
      </c>
      <c r="C302" s="4"/>
      <c r="D302" s="13"/>
    </row>
    <row r="303" spans="1:4" x14ac:dyDescent="0.3">
      <c r="A303" s="11" t="s">
        <v>3</v>
      </c>
      <c r="B303" s="3" t="s">
        <v>90</v>
      </c>
      <c r="C303" s="4"/>
      <c r="D303" s="14"/>
    </row>
    <row r="304" spans="1:4" x14ac:dyDescent="0.3">
      <c r="A304" s="11" t="s">
        <v>26</v>
      </c>
      <c r="B304" s="3" t="s">
        <v>122</v>
      </c>
      <c r="C304" s="4"/>
      <c r="D304" s="15"/>
    </row>
    <row r="305" spans="1:4" x14ac:dyDescent="0.3">
      <c r="A305" s="11" t="s">
        <v>99</v>
      </c>
      <c r="B305" s="55">
        <v>2022</v>
      </c>
      <c r="C305" s="4"/>
      <c r="D305" s="15"/>
    </row>
    <row r="306" spans="1:4" x14ac:dyDescent="0.3">
      <c r="A306" s="16"/>
      <c r="B306" s="5"/>
      <c r="C306" s="5"/>
      <c r="D306" s="17"/>
    </row>
    <row r="307" spans="1:4" x14ac:dyDescent="0.3">
      <c r="A307" s="39" t="s">
        <v>4</v>
      </c>
      <c r="B307" s="40"/>
      <c r="C307" s="41" t="s">
        <v>5</v>
      </c>
      <c r="D307" s="42" t="s">
        <v>6</v>
      </c>
    </row>
    <row r="308" spans="1:4" x14ac:dyDescent="0.3">
      <c r="A308" s="18"/>
      <c r="B308" s="6"/>
      <c r="C308" s="7"/>
      <c r="D308" s="19"/>
    </row>
    <row r="309" spans="1:4" x14ac:dyDescent="0.3">
      <c r="A309" s="26" t="s">
        <v>16</v>
      </c>
      <c r="B309" s="27"/>
      <c r="C309" s="28">
        <v>527</v>
      </c>
      <c r="D309" s="29"/>
    </row>
    <row r="310" spans="1:4" x14ac:dyDescent="0.3">
      <c r="A310" s="26" t="s">
        <v>100</v>
      </c>
      <c r="B310" s="27"/>
      <c r="C310" s="56"/>
      <c r="D310" s="29"/>
    </row>
    <row r="311" spans="1:4" x14ac:dyDescent="0.3">
      <c r="A311" s="26" t="s">
        <v>8</v>
      </c>
      <c r="B311" s="27"/>
      <c r="C311" s="28"/>
      <c r="D311" s="29"/>
    </row>
    <row r="312" spans="1:4" x14ac:dyDescent="0.3">
      <c r="A312" s="26" t="s">
        <v>9</v>
      </c>
      <c r="B312" s="27"/>
      <c r="C312" s="28"/>
      <c r="D312" s="29"/>
    </row>
    <row r="313" spans="1:4" x14ac:dyDescent="0.3">
      <c r="A313" s="26"/>
      <c r="B313" s="27" t="s">
        <v>19</v>
      </c>
      <c r="C313" s="28"/>
      <c r="D313" s="29">
        <f>C309*9.45%</f>
        <v>49.80149999999999</v>
      </c>
    </row>
    <row r="314" spans="1:4" x14ac:dyDescent="0.3">
      <c r="A314" s="26"/>
      <c r="B314" s="27" t="s">
        <v>11</v>
      </c>
      <c r="C314" s="28"/>
      <c r="D314" s="29"/>
    </row>
    <row r="315" spans="1:4" x14ac:dyDescent="0.3">
      <c r="A315" s="26"/>
      <c r="B315" s="27" t="s">
        <v>55</v>
      </c>
      <c r="C315" s="28"/>
      <c r="D315" s="29"/>
    </row>
    <row r="316" spans="1:4" x14ac:dyDescent="0.3">
      <c r="A316" s="26"/>
      <c r="B316" s="27" t="s">
        <v>18</v>
      </c>
      <c r="C316" s="28"/>
      <c r="D316" s="29"/>
    </row>
    <row r="317" spans="1:4" x14ac:dyDescent="0.3">
      <c r="A317" s="26"/>
      <c r="B317" s="27"/>
      <c r="C317" s="28"/>
      <c r="D317" s="29"/>
    </row>
    <row r="318" spans="1:4" x14ac:dyDescent="0.3">
      <c r="A318" s="26"/>
      <c r="B318" s="27"/>
      <c r="C318" s="28"/>
      <c r="D318" s="29"/>
    </row>
    <row r="319" spans="1:4" x14ac:dyDescent="0.3">
      <c r="A319" s="21"/>
      <c r="B319" s="8"/>
      <c r="C319" s="1"/>
      <c r="D319" s="20"/>
    </row>
    <row r="320" spans="1:4" x14ac:dyDescent="0.3">
      <c r="A320" s="43"/>
      <c r="B320" s="44" t="s">
        <v>12</v>
      </c>
      <c r="C320" s="46">
        <f>SUM(C309:C319)</f>
        <v>527</v>
      </c>
      <c r="D320" s="50">
        <f>SUM(D309:D319)</f>
        <v>49.80149999999999</v>
      </c>
    </row>
    <row r="321" spans="1:4" x14ac:dyDescent="0.3">
      <c r="A321" s="21"/>
      <c r="B321" s="3"/>
      <c r="C321" s="3"/>
      <c r="D321" s="22"/>
    </row>
    <row r="322" spans="1:4" ht="28.2" x14ac:dyDescent="0.3">
      <c r="A322" s="21"/>
      <c r="B322" s="45"/>
      <c r="C322" s="47" t="s">
        <v>13</v>
      </c>
      <c r="D322" s="51">
        <f>+C320-D320</f>
        <v>477.19850000000002</v>
      </c>
    </row>
    <row r="323" spans="1:4" x14ac:dyDescent="0.3">
      <c r="A323" s="21"/>
      <c r="B323" s="3"/>
      <c r="C323" s="3"/>
      <c r="D323" s="22"/>
    </row>
    <row r="324" spans="1:4" x14ac:dyDescent="0.3">
      <c r="A324" s="23"/>
      <c r="B324" s="4" t="s">
        <v>14</v>
      </c>
      <c r="C324" s="2"/>
      <c r="D324" s="24"/>
    </row>
    <row r="325" spans="1:4" ht="15" thickBot="1" x14ac:dyDescent="0.35">
      <c r="A325" s="23"/>
      <c r="B325" s="9"/>
      <c r="C325" s="9"/>
      <c r="D325" s="24"/>
    </row>
    <row r="326" spans="1:4" x14ac:dyDescent="0.3">
      <c r="A326" s="300" t="s">
        <v>28</v>
      </c>
      <c r="B326" s="300" t="s">
        <v>93</v>
      </c>
      <c r="C326" s="302" t="s">
        <v>30</v>
      </c>
      <c r="D326" s="303"/>
    </row>
    <row r="327" spans="1:4" ht="15" thickBot="1" x14ac:dyDescent="0.35">
      <c r="A327" s="301"/>
      <c r="B327" s="301"/>
      <c r="C327" s="304"/>
      <c r="D327" s="305"/>
    </row>
    <row r="328" spans="1:4" x14ac:dyDescent="0.3">
      <c r="A328" s="37"/>
      <c r="B328" s="34"/>
      <c r="C328" s="32"/>
      <c r="D328" s="25"/>
    </row>
    <row r="329" spans="1:4" x14ac:dyDescent="0.3">
      <c r="A329" s="37"/>
      <c r="B329" s="34"/>
      <c r="C329" s="32"/>
      <c r="D329" s="25"/>
    </row>
    <row r="330" spans="1:4" x14ac:dyDescent="0.3">
      <c r="A330" s="37"/>
      <c r="B330" s="34"/>
      <c r="C330" s="32"/>
      <c r="D330" s="25"/>
    </row>
    <row r="331" spans="1:4" x14ac:dyDescent="0.3">
      <c r="A331" s="37"/>
      <c r="B331" s="34"/>
      <c r="C331" s="32"/>
      <c r="D331" s="25"/>
    </row>
    <row r="332" spans="1:4" x14ac:dyDescent="0.3">
      <c r="A332" s="37"/>
      <c r="B332" s="34"/>
      <c r="C332" s="32"/>
      <c r="D332" s="25"/>
    </row>
    <row r="333" spans="1:4" x14ac:dyDescent="0.3">
      <c r="A333" s="37"/>
      <c r="B333" s="34"/>
      <c r="C333" s="32"/>
      <c r="D333" s="25"/>
    </row>
    <row r="334" spans="1:4" x14ac:dyDescent="0.3">
      <c r="A334" s="37"/>
      <c r="B334" s="34"/>
      <c r="C334" s="32"/>
      <c r="D334" s="25"/>
    </row>
    <row r="335" spans="1:4" x14ac:dyDescent="0.3">
      <c r="A335" s="37"/>
      <c r="B335" s="34"/>
      <c r="C335" s="32"/>
      <c r="D335" s="25"/>
    </row>
    <row r="336" spans="1:4" x14ac:dyDescent="0.3">
      <c r="A336" s="37"/>
      <c r="B336" s="34"/>
      <c r="C336" s="32"/>
      <c r="D336" s="25"/>
    </row>
    <row r="337" spans="1:4" x14ac:dyDescent="0.3">
      <c r="A337" s="37"/>
      <c r="B337" s="34"/>
      <c r="C337" s="32"/>
      <c r="D337" s="25"/>
    </row>
    <row r="338" spans="1:4" x14ac:dyDescent="0.3">
      <c r="A338" s="38" t="s">
        <v>20</v>
      </c>
      <c r="B338" s="35" t="s">
        <v>21</v>
      </c>
      <c r="C338" s="290" t="s">
        <v>91</v>
      </c>
      <c r="D338" s="291"/>
    </row>
    <row r="339" spans="1:4" ht="15" thickBot="1" x14ac:dyDescent="0.35">
      <c r="A339" s="36" t="s">
        <v>22</v>
      </c>
      <c r="B339" s="33" t="s">
        <v>23</v>
      </c>
      <c r="C339" s="292" t="s">
        <v>92</v>
      </c>
      <c r="D339" s="293"/>
    </row>
    <row r="343" spans="1:4" ht="15" thickBot="1" x14ac:dyDescent="0.35"/>
    <row r="344" spans="1:4" ht="25.2" x14ac:dyDescent="0.3">
      <c r="A344" s="294"/>
      <c r="B344" s="295"/>
      <c r="C344" s="295"/>
      <c r="D344" s="296"/>
    </row>
    <row r="345" spans="1:4" x14ac:dyDescent="0.3">
      <c r="A345" s="31"/>
      <c r="B345" s="48"/>
      <c r="C345" s="2"/>
      <c r="D345" s="30"/>
    </row>
    <row r="346" spans="1:4" x14ac:dyDescent="0.3">
      <c r="A346" s="31"/>
      <c r="B346" s="49"/>
      <c r="C346" s="2"/>
      <c r="D346" s="30"/>
    </row>
    <row r="347" spans="1:4" x14ac:dyDescent="0.3">
      <c r="A347" s="31"/>
      <c r="B347" s="49"/>
      <c r="C347" s="2"/>
      <c r="D347" s="30"/>
    </row>
    <row r="348" spans="1:4" ht="15" thickBot="1" x14ac:dyDescent="0.35">
      <c r="A348" s="31"/>
      <c r="B348" s="2"/>
      <c r="C348" s="2"/>
      <c r="D348" s="30"/>
    </row>
    <row r="349" spans="1:4" ht="25.8" thickBot="1" x14ac:dyDescent="0.35">
      <c r="A349" s="297" t="s">
        <v>133</v>
      </c>
      <c r="B349" s="298"/>
      <c r="C349" s="298"/>
      <c r="D349" s="299"/>
    </row>
    <row r="350" spans="1:4" ht="25.2" x14ac:dyDescent="0.3">
      <c r="A350" s="52"/>
      <c r="B350" s="53"/>
      <c r="C350" s="53"/>
      <c r="D350" s="54"/>
    </row>
    <row r="351" spans="1:4" x14ac:dyDescent="0.3">
      <c r="A351" s="11" t="s">
        <v>1</v>
      </c>
      <c r="B351" s="3" t="s">
        <v>88</v>
      </c>
      <c r="C351" s="3"/>
      <c r="D351" s="12"/>
    </row>
    <row r="352" spans="1:4" x14ac:dyDescent="0.3">
      <c r="A352" s="11" t="s">
        <v>2</v>
      </c>
      <c r="B352" s="10" t="s">
        <v>89</v>
      </c>
      <c r="C352" s="4"/>
      <c r="D352" s="13"/>
    </row>
    <row r="353" spans="1:4" x14ac:dyDescent="0.3">
      <c r="A353" s="11" t="s">
        <v>3</v>
      </c>
      <c r="B353" s="3" t="s">
        <v>90</v>
      </c>
      <c r="C353" s="4"/>
      <c r="D353" s="14"/>
    </row>
    <row r="354" spans="1:4" x14ac:dyDescent="0.3">
      <c r="A354" s="11" t="s">
        <v>26</v>
      </c>
      <c r="B354" s="3" t="s">
        <v>134</v>
      </c>
      <c r="C354" s="4"/>
      <c r="D354" s="15"/>
    </row>
    <row r="355" spans="1:4" x14ac:dyDescent="0.3">
      <c r="A355" s="11" t="s">
        <v>99</v>
      </c>
      <c r="B355" s="55">
        <v>2022</v>
      </c>
      <c r="C355" s="4"/>
      <c r="D355" s="15"/>
    </row>
    <row r="356" spans="1:4" x14ac:dyDescent="0.3">
      <c r="A356" s="16"/>
      <c r="B356" s="5"/>
      <c r="C356" s="5"/>
      <c r="D356" s="17"/>
    </row>
    <row r="357" spans="1:4" x14ac:dyDescent="0.3">
      <c r="A357" s="39" t="s">
        <v>4</v>
      </c>
      <c r="B357" s="40"/>
      <c r="C357" s="41" t="s">
        <v>5</v>
      </c>
      <c r="D357" s="42" t="s">
        <v>6</v>
      </c>
    </row>
    <row r="358" spans="1:4" x14ac:dyDescent="0.3">
      <c r="A358" s="18"/>
      <c r="B358" s="6"/>
      <c r="C358" s="7"/>
      <c r="D358" s="19"/>
    </row>
    <row r="359" spans="1:4" x14ac:dyDescent="0.3">
      <c r="A359" s="26" t="s">
        <v>16</v>
      </c>
      <c r="B359" s="27"/>
      <c r="C359" s="28"/>
      <c r="D359" s="29"/>
    </row>
    <row r="360" spans="1:4" x14ac:dyDescent="0.3">
      <c r="A360" s="26" t="s">
        <v>100</v>
      </c>
      <c r="B360" s="27"/>
      <c r="C360" s="56"/>
      <c r="D360" s="29"/>
    </row>
    <row r="361" spans="1:4" x14ac:dyDescent="0.3">
      <c r="A361" s="26" t="s">
        <v>8</v>
      </c>
      <c r="B361" s="27"/>
      <c r="C361" s="28"/>
      <c r="D361" s="29"/>
    </row>
    <row r="362" spans="1:4" x14ac:dyDescent="0.3">
      <c r="A362" s="26" t="s">
        <v>9</v>
      </c>
      <c r="B362" s="27"/>
      <c r="C362" s="28">
        <f>(425/12)*12</f>
        <v>425</v>
      </c>
      <c r="D362" s="29"/>
    </row>
    <row r="363" spans="1:4" x14ac:dyDescent="0.3">
      <c r="A363" s="26"/>
      <c r="B363" s="27" t="s">
        <v>19</v>
      </c>
      <c r="C363" s="28"/>
      <c r="D363" s="29">
        <f>C359*9.45%</f>
        <v>0</v>
      </c>
    </row>
    <row r="364" spans="1:4" x14ac:dyDescent="0.3">
      <c r="A364" s="26"/>
      <c r="B364" s="27" t="s">
        <v>11</v>
      </c>
      <c r="C364" s="28"/>
      <c r="D364" s="29"/>
    </row>
    <row r="365" spans="1:4" x14ac:dyDescent="0.3">
      <c r="A365" s="26"/>
      <c r="B365" s="27" t="s">
        <v>55</v>
      </c>
      <c r="C365" s="28"/>
      <c r="D365" s="29"/>
    </row>
    <row r="366" spans="1:4" x14ac:dyDescent="0.3">
      <c r="A366" s="26"/>
      <c r="B366" s="27" t="s">
        <v>18</v>
      </c>
      <c r="C366" s="28"/>
      <c r="D366" s="29"/>
    </row>
    <row r="367" spans="1:4" x14ac:dyDescent="0.3">
      <c r="A367" s="26"/>
      <c r="B367" s="27"/>
      <c r="C367" s="28"/>
      <c r="D367" s="29"/>
    </row>
    <row r="368" spans="1:4" x14ac:dyDescent="0.3">
      <c r="A368" s="26"/>
      <c r="B368" s="27"/>
      <c r="C368" s="28"/>
      <c r="D368" s="29"/>
    </row>
    <row r="369" spans="1:4" x14ac:dyDescent="0.3">
      <c r="A369" s="21"/>
      <c r="B369" s="8"/>
      <c r="C369" s="1"/>
      <c r="D369" s="20"/>
    </row>
    <row r="370" spans="1:4" x14ac:dyDescent="0.3">
      <c r="A370" s="43"/>
      <c r="B370" s="44" t="s">
        <v>12</v>
      </c>
      <c r="C370" s="46">
        <f>SUM(C359:C369)</f>
        <v>425</v>
      </c>
      <c r="D370" s="50">
        <f>SUM(D359:D369)</f>
        <v>0</v>
      </c>
    </row>
    <row r="371" spans="1:4" x14ac:dyDescent="0.3">
      <c r="A371" s="21"/>
      <c r="B371" s="3"/>
      <c r="C371" s="3"/>
      <c r="D371" s="22"/>
    </row>
    <row r="372" spans="1:4" ht="28.2" x14ac:dyDescent="0.3">
      <c r="A372" s="21"/>
      <c r="B372" s="45"/>
      <c r="C372" s="47" t="s">
        <v>13</v>
      </c>
      <c r="D372" s="51">
        <f>+C370-D370</f>
        <v>425</v>
      </c>
    </row>
    <row r="373" spans="1:4" x14ac:dyDescent="0.3">
      <c r="A373" s="21"/>
      <c r="B373" s="3"/>
      <c r="C373" s="3"/>
      <c r="D373" s="22"/>
    </row>
    <row r="374" spans="1:4" x14ac:dyDescent="0.3">
      <c r="A374" s="23"/>
      <c r="B374" s="4" t="s">
        <v>14</v>
      </c>
      <c r="C374" s="2"/>
      <c r="D374" s="24"/>
    </row>
    <row r="375" spans="1:4" ht="15" thickBot="1" x14ac:dyDescent="0.35">
      <c r="A375" s="23"/>
      <c r="B375" s="9"/>
      <c r="C375" s="9"/>
      <c r="D375" s="24"/>
    </row>
    <row r="376" spans="1:4" x14ac:dyDescent="0.3">
      <c r="A376" s="300" t="s">
        <v>28</v>
      </c>
      <c r="B376" s="300" t="s">
        <v>93</v>
      </c>
      <c r="C376" s="302" t="s">
        <v>30</v>
      </c>
      <c r="D376" s="303"/>
    </row>
    <row r="377" spans="1:4" ht="15" thickBot="1" x14ac:dyDescent="0.35">
      <c r="A377" s="301"/>
      <c r="B377" s="301"/>
      <c r="C377" s="304"/>
      <c r="D377" s="305"/>
    </row>
    <row r="378" spans="1:4" x14ac:dyDescent="0.3">
      <c r="A378" s="37"/>
      <c r="B378" s="34"/>
      <c r="C378" s="32"/>
      <c r="D378" s="25"/>
    </row>
    <row r="379" spans="1:4" x14ac:dyDescent="0.3">
      <c r="A379" s="37"/>
      <c r="B379" s="34"/>
      <c r="C379" s="32"/>
      <c r="D379" s="25"/>
    </row>
    <row r="380" spans="1:4" x14ac:dyDescent="0.3">
      <c r="A380" s="37"/>
      <c r="B380" s="34"/>
      <c r="C380" s="32"/>
      <c r="D380" s="25"/>
    </row>
    <row r="381" spans="1:4" x14ac:dyDescent="0.3">
      <c r="A381" s="37"/>
      <c r="B381" s="34"/>
      <c r="C381" s="32"/>
      <c r="D381" s="25"/>
    </row>
    <row r="382" spans="1:4" x14ac:dyDescent="0.3">
      <c r="A382" s="37"/>
      <c r="B382" s="34"/>
      <c r="C382" s="32"/>
      <c r="D382" s="25"/>
    </row>
    <row r="383" spans="1:4" x14ac:dyDescent="0.3">
      <c r="A383" s="37"/>
      <c r="B383" s="34"/>
      <c r="C383" s="32"/>
      <c r="D383" s="25"/>
    </row>
    <row r="384" spans="1:4" x14ac:dyDescent="0.3">
      <c r="A384" s="37"/>
      <c r="B384" s="34"/>
      <c r="C384" s="32"/>
      <c r="D384" s="25"/>
    </row>
    <row r="385" spans="1:4" x14ac:dyDescent="0.3">
      <c r="A385" s="37"/>
      <c r="B385" s="34"/>
      <c r="C385" s="32"/>
      <c r="D385" s="25"/>
    </row>
    <row r="386" spans="1:4" x14ac:dyDescent="0.3">
      <c r="A386" s="37"/>
      <c r="B386" s="34"/>
      <c r="C386" s="32"/>
      <c r="D386" s="25"/>
    </row>
    <row r="387" spans="1:4" x14ac:dyDescent="0.3">
      <c r="A387" s="37"/>
      <c r="B387" s="34"/>
      <c r="C387" s="32"/>
      <c r="D387" s="25"/>
    </row>
    <row r="388" spans="1:4" x14ac:dyDescent="0.3">
      <c r="A388" s="38" t="s">
        <v>20</v>
      </c>
      <c r="B388" s="35" t="s">
        <v>21</v>
      </c>
      <c r="C388" s="290" t="s">
        <v>91</v>
      </c>
      <c r="D388" s="291"/>
    </row>
    <row r="389" spans="1:4" ht="15" thickBot="1" x14ac:dyDescent="0.35">
      <c r="A389" s="36" t="s">
        <v>22</v>
      </c>
      <c r="B389" s="33" t="s">
        <v>23</v>
      </c>
      <c r="C389" s="292" t="s">
        <v>92</v>
      </c>
      <c r="D389" s="293"/>
    </row>
    <row r="393" spans="1:4" ht="15" thickBot="1" x14ac:dyDescent="0.35"/>
    <row r="394" spans="1:4" ht="25.2" x14ac:dyDescent="0.3">
      <c r="A394" s="294"/>
      <c r="B394" s="295"/>
      <c r="C394" s="295"/>
      <c r="D394" s="296"/>
    </row>
    <row r="395" spans="1:4" x14ac:dyDescent="0.3">
      <c r="A395" s="31"/>
      <c r="B395" s="48"/>
      <c r="C395" s="2"/>
      <c r="D395" s="30"/>
    </row>
    <row r="396" spans="1:4" x14ac:dyDescent="0.3">
      <c r="A396" s="31"/>
      <c r="B396" s="49"/>
      <c r="C396" s="2"/>
      <c r="D396" s="30"/>
    </row>
    <row r="397" spans="1:4" x14ac:dyDescent="0.3">
      <c r="A397" s="31"/>
      <c r="B397" s="49"/>
      <c r="C397" s="2"/>
      <c r="D397" s="30"/>
    </row>
    <row r="398" spans="1:4" ht="15" thickBot="1" x14ac:dyDescent="0.35">
      <c r="A398" s="31"/>
      <c r="B398" s="2"/>
      <c r="C398" s="2"/>
      <c r="D398" s="30"/>
    </row>
    <row r="399" spans="1:4" ht="25.8" thickBot="1" x14ac:dyDescent="0.35">
      <c r="A399" s="297" t="s">
        <v>0</v>
      </c>
      <c r="B399" s="298"/>
      <c r="C399" s="298"/>
      <c r="D399" s="299"/>
    </row>
    <row r="400" spans="1:4" ht="25.2" x14ac:dyDescent="0.3">
      <c r="A400" s="52"/>
      <c r="B400" s="53"/>
      <c r="C400" s="53"/>
      <c r="D400" s="54"/>
    </row>
    <row r="401" spans="1:4" x14ac:dyDescent="0.3">
      <c r="A401" s="11" t="s">
        <v>1</v>
      </c>
      <c r="B401" s="3" t="s">
        <v>88</v>
      </c>
      <c r="C401" s="3"/>
      <c r="D401" s="12"/>
    </row>
    <row r="402" spans="1:4" x14ac:dyDescent="0.3">
      <c r="A402" s="11" t="s">
        <v>2</v>
      </c>
      <c r="B402" s="10" t="s">
        <v>89</v>
      </c>
      <c r="C402" s="4"/>
      <c r="D402" s="13"/>
    </row>
    <row r="403" spans="1:4" x14ac:dyDescent="0.3">
      <c r="A403" s="11" t="s">
        <v>3</v>
      </c>
      <c r="B403" s="3" t="s">
        <v>90</v>
      </c>
      <c r="C403" s="4"/>
      <c r="D403" s="14"/>
    </row>
    <row r="404" spans="1:4" x14ac:dyDescent="0.3">
      <c r="A404" s="11" t="s">
        <v>26</v>
      </c>
      <c r="B404" s="3" t="s">
        <v>134</v>
      </c>
      <c r="C404" s="4"/>
      <c r="D404" s="15"/>
    </row>
    <row r="405" spans="1:4" x14ac:dyDescent="0.3">
      <c r="A405" s="11" t="s">
        <v>99</v>
      </c>
      <c r="B405" s="55">
        <v>2022</v>
      </c>
      <c r="C405" s="4"/>
      <c r="D405" s="15"/>
    </row>
    <row r="406" spans="1:4" x14ac:dyDescent="0.3">
      <c r="A406" s="16"/>
      <c r="B406" s="5"/>
      <c r="C406" s="5"/>
      <c r="D406" s="17"/>
    </row>
    <row r="407" spans="1:4" x14ac:dyDescent="0.3">
      <c r="A407" s="39" t="s">
        <v>4</v>
      </c>
      <c r="B407" s="40"/>
      <c r="C407" s="41" t="s">
        <v>5</v>
      </c>
      <c r="D407" s="42" t="s">
        <v>6</v>
      </c>
    </row>
    <row r="408" spans="1:4" x14ac:dyDescent="0.3">
      <c r="A408" s="18"/>
      <c r="B408" s="6"/>
      <c r="C408" s="7"/>
      <c r="D408" s="19"/>
    </row>
    <row r="409" spans="1:4" x14ac:dyDescent="0.3">
      <c r="A409" s="26" t="s">
        <v>16</v>
      </c>
      <c r="B409" s="27"/>
      <c r="C409" s="28">
        <v>527</v>
      </c>
      <c r="D409" s="29"/>
    </row>
    <row r="410" spans="1:4" x14ac:dyDescent="0.3">
      <c r="A410" s="26" t="s">
        <v>100</v>
      </c>
      <c r="B410" s="27"/>
      <c r="C410" s="56"/>
      <c r="D410" s="29"/>
    </row>
    <row r="411" spans="1:4" x14ac:dyDescent="0.3">
      <c r="A411" s="26" t="s">
        <v>8</v>
      </c>
      <c r="B411" s="27"/>
      <c r="C411" s="28"/>
      <c r="D411" s="29"/>
    </row>
    <row r="412" spans="1:4" x14ac:dyDescent="0.3">
      <c r="A412" s="26" t="s">
        <v>9</v>
      </c>
      <c r="B412" s="27"/>
      <c r="C412" s="28"/>
      <c r="D412" s="29"/>
    </row>
    <row r="413" spans="1:4" x14ac:dyDescent="0.3">
      <c r="A413" s="26"/>
      <c r="B413" s="27" t="s">
        <v>19</v>
      </c>
      <c r="C413" s="28"/>
      <c r="D413" s="29">
        <f>C409*9.45%</f>
        <v>49.80149999999999</v>
      </c>
    </row>
    <row r="414" spans="1:4" x14ac:dyDescent="0.3">
      <c r="A414" s="26"/>
      <c r="B414" s="27" t="s">
        <v>11</v>
      </c>
      <c r="C414" s="28"/>
      <c r="D414" s="29"/>
    </row>
    <row r="415" spans="1:4" x14ac:dyDescent="0.3">
      <c r="A415" s="26"/>
      <c r="B415" s="27" t="s">
        <v>55</v>
      </c>
      <c r="C415" s="28"/>
      <c r="D415" s="29"/>
    </row>
    <row r="416" spans="1:4" x14ac:dyDescent="0.3">
      <c r="A416" s="26"/>
      <c r="B416" s="27" t="s">
        <v>18</v>
      </c>
      <c r="C416" s="28"/>
      <c r="D416" s="29"/>
    </row>
    <row r="417" spans="1:4" x14ac:dyDescent="0.3">
      <c r="A417" s="26"/>
      <c r="B417" s="27"/>
      <c r="C417" s="28"/>
      <c r="D417" s="29"/>
    </row>
    <row r="418" spans="1:4" x14ac:dyDescent="0.3">
      <c r="A418" s="26"/>
      <c r="B418" s="27"/>
      <c r="C418" s="28"/>
      <c r="D418" s="29"/>
    </row>
    <row r="419" spans="1:4" x14ac:dyDescent="0.3">
      <c r="A419" s="21"/>
      <c r="B419" s="8"/>
      <c r="C419" s="1"/>
      <c r="D419" s="20"/>
    </row>
    <row r="420" spans="1:4" x14ac:dyDescent="0.3">
      <c r="A420" s="43"/>
      <c r="B420" s="44" t="s">
        <v>12</v>
      </c>
      <c r="C420" s="46">
        <f>SUM(C409:C419)</f>
        <v>527</v>
      </c>
      <c r="D420" s="50">
        <f>SUM(D409:D419)</f>
        <v>49.80149999999999</v>
      </c>
    </row>
    <row r="421" spans="1:4" x14ac:dyDescent="0.3">
      <c r="A421" s="21"/>
      <c r="B421" s="3"/>
      <c r="C421" s="3"/>
      <c r="D421" s="22"/>
    </row>
    <row r="422" spans="1:4" ht="28.2" x14ac:dyDescent="0.3">
      <c r="A422" s="21"/>
      <c r="B422" s="45"/>
      <c r="C422" s="47" t="s">
        <v>13</v>
      </c>
      <c r="D422" s="51">
        <f>+C420-D420</f>
        <v>477.19850000000002</v>
      </c>
    </row>
    <row r="423" spans="1:4" x14ac:dyDescent="0.3">
      <c r="A423" s="21"/>
      <c r="B423" s="3"/>
      <c r="C423" s="3"/>
      <c r="D423" s="22"/>
    </row>
    <row r="424" spans="1:4" x14ac:dyDescent="0.3">
      <c r="A424" s="23"/>
      <c r="B424" s="4" t="s">
        <v>14</v>
      </c>
      <c r="C424" s="2"/>
      <c r="D424" s="24"/>
    </row>
    <row r="425" spans="1:4" ht="15" thickBot="1" x14ac:dyDescent="0.35">
      <c r="A425" s="23"/>
      <c r="B425" s="9"/>
      <c r="C425" s="9"/>
      <c r="D425" s="24"/>
    </row>
    <row r="426" spans="1:4" x14ac:dyDescent="0.3">
      <c r="A426" s="300" t="s">
        <v>28</v>
      </c>
      <c r="B426" s="300" t="s">
        <v>93</v>
      </c>
      <c r="C426" s="302" t="s">
        <v>30</v>
      </c>
      <c r="D426" s="303"/>
    </row>
    <row r="427" spans="1:4" ht="15" thickBot="1" x14ac:dyDescent="0.35">
      <c r="A427" s="301"/>
      <c r="B427" s="301"/>
      <c r="C427" s="304"/>
      <c r="D427" s="305"/>
    </row>
    <row r="428" spans="1:4" x14ac:dyDescent="0.3">
      <c r="A428" s="37"/>
      <c r="B428" s="34"/>
      <c r="C428" s="32"/>
      <c r="D428" s="25"/>
    </row>
    <row r="429" spans="1:4" x14ac:dyDescent="0.3">
      <c r="A429" s="37"/>
      <c r="B429" s="34"/>
      <c r="C429" s="32"/>
      <c r="D429" s="25"/>
    </row>
    <row r="430" spans="1:4" x14ac:dyDescent="0.3">
      <c r="A430" s="37"/>
      <c r="B430" s="34"/>
      <c r="C430" s="32"/>
      <c r="D430" s="25"/>
    </row>
    <row r="431" spans="1:4" x14ac:dyDescent="0.3">
      <c r="A431" s="37"/>
      <c r="B431" s="34"/>
      <c r="C431" s="32"/>
      <c r="D431" s="25"/>
    </row>
    <row r="432" spans="1:4" x14ac:dyDescent="0.3">
      <c r="A432" s="37"/>
      <c r="B432" s="34"/>
      <c r="C432" s="32"/>
      <c r="D432" s="25"/>
    </row>
    <row r="433" spans="1:4" x14ac:dyDescent="0.3">
      <c r="A433" s="37"/>
      <c r="B433" s="34"/>
      <c r="C433" s="32"/>
      <c r="D433" s="25"/>
    </row>
    <row r="434" spans="1:4" x14ac:dyDescent="0.3">
      <c r="A434" s="37"/>
      <c r="B434" s="34"/>
      <c r="C434" s="32"/>
      <c r="D434" s="25"/>
    </row>
    <row r="435" spans="1:4" x14ac:dyDescent="0.3">
      <c r="A435" s="37"/>
      <c r="B435" s="34"/>
      <c r="C435" s="32"/>
      <c r="D435" s="25"/>
    </row>
    <row r="436" spans="1:4" x14ac:dyDescent="0.3">
      <c r="A436" s="37"/>
      <c r="B436" s="34"/>
      <c r="C436" s="32"/>
      <c r="D436" s="25"/>
    </row>
    <row r="437" spans="1:4" x14ac:dyDescent="0.3">
      <c r="A437" s="37"/>
      <c r="B437" s="34"/>
      <c r="C437" s="32"/>
      <c r="D437" s="25"/>
    </row>
    <row r="438" spans="1:4" x14ac:dyDescent="0.3">
      <c r="A438" s="38" t="s">
        <v>20</v>
      </c>
      <c r="B438" s="35" t="s">
        <v>21</v>
      </c>
      <c r="C438" s="290" t="s">
        <v>91</v>
      </c>
      <c r="D438" s="291"/>
    </row>
    <row r="439" spans="1:4" ht="15" thickBot="1" x14ac:dyDescent="0.35">
      <c r="A439" s="36" t="s">
        <v>22</v>
      </c>
      <c r="B439" s="33" t="s">
        <v>23</v>
      </c>
      <c r="C439" s="292" t="s">
        <v>92</v>
      </c>
      <c r="D439" s="293"/>
    </row>
  </sheetData>
  <mergeCells count="61">
    <mergeCell ref="A2:D2"/>
    <mergeCell ref="A7:D7"/>
    <mergeCell ref="C29:D29"/>
    <mergeCell ref="C35:D35"/>
    <mergeCell ref="C36:D36"/>
    <mergeCell ref="A42:D42"/>
    <mergeCell ref="A47:D47"/>
    <mergeCell ref="A74:A75"/>
    <mergeCell ref="B74:B75"/>
    <mergeCell ref="C74:D75"/>
    <mergeCell ref="C86:D86"/>
    <mergeCell ref="C87:D87"/>
    <mergeCell ref="A94:D94"/>
    <mergeCell ref="A99:D99"/>
    <mergeCell ref="A126:A127"/>
    <mergeCell ref="B126:B127"/>
    <mergeCell ref="C126:D127"/>
    <mergeCell ref="C138:D138"/>
    <mergeCell ref="C139:D139"/>
    <mergeCell ref="A144:D144"/>
    <mergeCell ref="A149:D149"/>
    <mergeCell ref="A176:A177"/>
    <mergeCell ref="B176:B177"/>
    <mergeCell ref="C176:D177"/>
    <mergeCell ref="C188:D188"/>
    <mergeCell ref="C189:D189"/>
    <mergeCell ref="A194:D194"/>
    <mergeCell ref="A199:D199"/>
    <mergeCell ref="A226:A227"/>
    <mergeCell ref="B226:B227"/>
    <mergeCell ref="C226:D227"/>
    <mergeCell ref="C238:D238"/>
    <mergeCell ref="C239:D239"/>
    <mergeCell ref="A244:D244"/>
    <mergeCell ref="A249:D249"/>
    <mergeCell ref="A276:A277"/>
    <mergeCell ref="B276:B277"/>
    <mergeCell ref="C276:D277"/>
    <mergeCell ref="C288:D288"/>
    <mergeCell ref="C289:D289"/>
    <mergeCell ref="A294:D294"/>
    <mergeCell ref="A299:D299"/>
    <mergeCell ref="A326:A327"/>
    <mergeCell ref="B326:B327"/>
    <mergeCell ref="C326:D327"/>
    <mergeCell ref="C338:D338"/>
    <mergeCell ref="C339:D339"/>
    <mergeCell ref="A344:D344"/>
    <mergeCell ref="A349:D349"/>
    <mergeCell ref="A376:A377"/>
    <mergeCell ref="B376:B377"/>
    <mergeCell ref="C376:D377"/>
    <mergeCell ref="C438:D438"/>
    <mergeCell ref="C439:D439"/>
    <mergeCell ref="C388:D388"/>
    <mergeCell ref="C389:D389"/>
    <mergeCell ref="A394:D394"/>
    <mergeCell ref="A399:D399"/>
    <mergeCell ref="A426:A427"/>
    <mergeCell ref="B426:B427"/>
    <mergeCell ref="C426:D427"/>
  </mergeCells>
  <pageMargins left="0.7" right="0.7" top="0.75" bottom="0.75" header="0.3" footer="0.3"/>
  <pageSetup scale="7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="55" zoomScaleNormal="55" workbookViewId="0">
      <selection sqref="A1:XFD1048576"/>
    </sheetView>
  </sheetViews>
  <sheetFormatPr baseColWidth="10" defaultRowHeight="15.6" x14ac:dyDescent="0.3"/>
  <cols>
    <col min="1" max="1" width="4" customWidth="1"/>
    <col min="2" max="2" width="15.21875" customWidth="1"/>
    <col min="3" max="3" width="33.109375" customWidth="1"/>
    <col min="4" max="4" width="33.33203125" customWidth="1"/>
    <col min="5" max="5" width="18.109375" customWidth="1"/>
    <col min="6" max="6" width="10.44140625" customWidth="1"/>
    <col min="7" max="7" width="7.77734375" customWidth="1"/>
    <col min="8" max="10" width="8.33203125" customWidth="1"/>
    <col min="11" max="13" width="10.44140625" customWidth="1"/>
    <col min="14" max="14" width="19.33203125" customWidth="1"/>
    <col min="15" max="15" width="24" customWidth="1"/>
    <col min="16" max="16" width="15.5546875" style="123" customWidth="1"/>
    <col min="17" max="17" width="16.33203125" style="126" customWidth="1"/>
    <col min="18" max="18" width="13.88671875" customWidth="1"/>
    <col min="19" max="19" width="10" customWidth="1"/>
  </cols>
  <sheetData>
    <row r="1" spans="1:17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190"/>
    </row>
    <row r="2" spans="1:17" ht="15.6" customHeight="1" x14ac:dyDescent="0.3">
      <c r="A2" s="307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191"/>
    </row>
    <row r="3" spans="1:17" ht="15.6" customHeight="1" x14ac:dyDescent="0.3">
      <c r="A3" s="307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191"/>
    </row>
    <row r="4" spans="1:17" ht="15.6" customHeight="1" x14ac:dyDescent="0.3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191"/>
      <c r="Q4" s="166"/>
    </row>
    <row r="5" spans="1:17" ht="20.399999999999999" customHeight="1" x14ac:dyDescent="0.3">
      <c r="A5" s="345" t="s">
        <v>264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171"/>
    </row>
    <row r="6" spans="1:17" ht="19.2" customHeight="1" x14ac:dyDescent="0.3">
      <c r="A6" s="346" t="s">
        <v>265</v>
      </c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171"/>
    </row>
    <row r="7" spans="1:17" ht="25.8" thickBot="1" x14ac:dyDescent="0.35">
      <c r="A7" s="347" t="s">
        <v>266</v>
      </c>
      <c r="B7" s="347"/>
      <c r="C7" s="347"/>
      <c r="D7" s="177" t="s">
        <v>267</v>
      </c>
      <c r="E7" s="177" t="s">
        <v>268</v>
      </c>
      <c r="F7" s="176"/>
      <c r="G7" s="176"/>
      <c r="H7" s="176"/>
      <c r="I7" s="176"/>
      <c r="J7" s="176"/>
      <c r="K7" s="176"/>
      <c r="L7" s="176"/>
      <c r="M7" s="176"/>
      <c r="N7" s="176"/>
      <c r="O7" s="171"/>
    </row>
    <row r="8" spans="1:17" ht="18.600000000000001" thickBot="1" x14ac:dyDescent="0.4">
      <c r="A8" s="338" t="s">
        <v>269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192"/>
    </row>
    <row r="9" spans="1:17" ht="55.2" customHeight="1" x14ac:dyDescent="0.3">
      <c r="A9" s="117" t="s">
        <v>284</v>
      </c>
      <c r="B9" s="117" t="s">
        <v>145</v>
      </c>
      <c r="C9" s="117" t="s">
        <v>146</v>
      </c>
      <c r="D9" s="117" t="s">
        <v>147</v>
      </c>
      <c r="E9" s="117" t="s">
        <v>272</v>
      </c>
      <c r="F9" s="117" t="s">
        <v>177</v>
      </c>
      <c r="G9" s="117" t="s">
        <v>273</v>
      </c>
      <c r="H9" s="117" t="s">
        <v>274</v>
      </c>
      <c r="I9" s="117" t="s">
        <v>275</v>
      </c>
      <c r="J9" s="117" t="s">
        <v>276</v>
      </c>
      <c r="K9" s="117" t="s">
        <v>277</v>
      </c>
      <c r="L9" s="117" t="s">
        <v>278</v>
      </c>
      <c r="M9" s="117" t="s">
        <v>13</v>
      </c>
      <c r="N9" s="118" t="s">
        <v>161</v>
      </c>
      <c r="O9" s="129" t="s">
        <v>220</v>
      </c>
      <c r="P9" s="130" t="s">
        <v>229</v>
      </c>
      <c r="Q9" s="127" t="s">
        <v>219</v>
      </c>
    </row>
    <row r="10" spans="1:17" ht="28.8" customHeight="1" x14ac:dyDescent="0.3">
      <c r="A10" s="71">
        <v>1</v>
      </c>
      <c r="B10" s="94">
        <v>1500721202</v>
      </c>
      <c r="C10" s="64" t="s">
        <v>163</v>
      </c>
      <c r="D10" s="65" t="s">
        <v>15</v>
      </c>
      <c r="E10" s="63">
        <v>1340</v>
      </c>
      <c r="F10" s="63">
        <v>16</v>
      </c>
      <c r="G10" s="102">
        <f t="shared" ref="G10:G15" si="0">(450/12)/30</f>
        <v>1.25</v>
      </c>
      <c r="H10" s="102">
        <f t="shared" ref="H10:H15" si="1">F10*G10</f>
        <v>20</v>
      </c>
      <c r="I10" s="102">
        <v>2</v>
      </c>
      <c r="J10" s="102">
        <v>37.5</v>
      </c>
      <c r="K10" s="102">
        <f t="shared" ref="K10:K15" si="2">I10*J10</f>
        <v>75</v>
      </c>
      <c r="L10" s="102">
        <f t="shared" ref="L10:L15" si="3">14*1.25</f>
        <v>17.5</v>
      </c>
      <c r="M10" s="140">
        <f t="shared" ref="M10:M15" si="4">H10+K10-L10</f>
        <v>77.5</v>
      </c>
      <c r="N10" s="63"/>
      <c r="O10" s="123" t="s">
        <v>207</v>
      </c>
      <c r="P10" s="126" t="s">
        <v>206</v>
      </c>
      <c r="Q10">
        <v>1700511</v>
      </c>
    </row>
    <row r="11" spans="1:17" ht="28.8" customHeight="1" x14ac:dyDescent="0.3">
      <c r="A11" s="71">
        <v>2</v>
      </c>
      <c r="B11" s="95" t="s">
        <v>198</v>
      </c>
      <c r="C11" s="66" t="s">
        <v>164</v>
      </c>
      <c r="D11" s="65" t="s">
        <v>169</v>
      </c>
      <c r="E11" s="63">
        <v>533</v>
      </c>
      <c r="F11" s="63">
        <v>16</v>
      </c>
      <c r="G11" s="102">
        <f t="shared" si="0"/>
        <v>1.25</v>
      </c>
      <c r="H11" s="102">
        <f t="shared" si="1"/>
        <v>20</v>
      </c>
      <c r="I11" s="102">
        <v>2</v>
      </c>
      <c r="J11" s="102">
        <v>37.5</v>
      </c>
      <c r="K11" s="102">
        <f t="shared" si="2"/>
        <v>75</v>
      </c>
      <c r="L11" s="102">
        <f t="shared" si="3"/>
        <v>17.5</v>
      </c>
      <c r="M11" s="140">
        <f t="shared" si="4"/>
        <v>77.5</v>
      </c>
      <c r="N11" s="63"/>
      <c r="O11" s="123" t="s">
        <v>211</v>
      </c>
      <c r="P11" s="126" t="s">
        <v>205</v>
      </c>
      <c r="Q11">
        <v>1410036</v>
      </c>
    </row>
    <row r="12" spans="1:17" ht="28.8" customHeight="1" x14ac:dyDescent="0.3">
      <c r="A12" s="71">
        <v>3</v>
      </c>
      <c r="B12" s="95" t="s">
        <v>199</v>
      </c>
      <c r="C12" s="66" t="s">
        <v>165</v>
      </c>
      <c r="D12" s="65" t="s">
        <v>170</v>
      </c>
      <c r="E12" s="63">
        <v>533</v>
      </c>
      <c r="F12" s="63">
        <v>16</v>
      </c>
      <c r="G12" s="102">
        <f t="shared" si="0"/>
        <v>1.25</v>
      </c>
      <c r="H12" s="102">
        <f t="shared" si="1"/>
        <v>20</v>
      </c>
      <c r="I12" s="102">
        <v>2</v>
      </c>
      <c r="J12" s="102">
        <v>37.5</v>
      </c>
      <c r="K12" s="102">
        <f t="shared" si="2"/>
        <v>75</v>
      </c>
      <c r="L12" s="102">
        <f t="shared" si="3"/>
        <v>17.5</v>
      </c>
      <c r="M12" s="140">
        <f t="shared" si="4"/>
        <v>77.5</v>
      </c>
      <c r="N12" s="63"/>
      <c r="O12" s="123" t="s">
        <v>210</v>
      </c>
      <c r="P12" s="126" t="s">
        <v>205</v>
      </c>
      <c r="Q12">
        <v>1410036</v>
      </c>
    </row>
    <row r="13" spans="1:17" ht="28.8" customHeight="1" x14ac:dyDescent="0.3">
      <c r="A13" s="71">
        <v>4</v>
      </c>
      <c r="B13" s="96">
        <v>1500367295</v>
      </c>
      <c r="C13" s="64" t="s">
        <v>166</v>
      </c>
      <c r="D13" s="65" t="s">
        <v>171</v>
      </c>
      <c r="E13" s="63">
        <v>533</v>
      </c>
      <c r="F13" s="63">
        <v>16</v>
      </c>
      <c r="G13" s="102">
        <f t="shared" si="0"/>
        <v>1.25</v>
      </c>
      <c r="H13" s="102">
        <f t="shared" si="1"/>
        <v>20</v>
      </c>
      <c r="I13" s="102">
        <v>2</v>
      </c>
      <c r="J13" s="102">
        <v>37.5</v>
      </c>
      <c r="K13" s="102">
        <f t="shared" si="2"/>
        <v>75</v>
      </c>
      <c r="L13" s="102">
        <f t="shared" si="3"/>
        <v>17.5</v>
      </c>
      <c r="M13" s="140">
        <f t="shared" si="4"/>
        <v>77.5</v>
      </c>
      <c r="N13" s="63"/>
      <c r="O13" s="123" t="s">
        <v>255</v>
      </c>
      <c r="P13" s="126" t="s">
        <v>205</v>
      </c>
      <c r="Q13">
        <v>1410036</v>
      </c>
    </row>
    <row r="14" spans="1:17" ht="28.8" customHeight="1" x14ac:dyDescent="0.3">
      <c r="A14" s="71">
        <v>5</v>
      </c>
      <c r="B14" s="97">
        <v>1500814940</v>
      </c>
      <c r="C14" s="66" t="s">
        <v>167</v>
      </c>
      <c r="D14" s="65" t="s">
        <v>172</v>
      </c>
      <c r="E14" s="63">
        <v>533</v>
      </c>
      <c r="F14" s="63">
        <v>16</v>
      </c>
      <c r="G14" s="102">
        <f t="shared" si="0"/>
        <v>1.25</v>
      </c>
      <c r="H14" s="102">
        <f t="shared" si="1"/>
        <v>20</v>
      </c>
      <c r="I14" s="102">
        <v>2</v>
      </c>
      <c r="J14" s="102">
        <v>37.5</v>
      </c>
      <c r="K14" s="102">
        <f t="shared" si="2"/>
        <v>75</v>
      </c>
      <c r="L14" s="102">
        <f t="shared" si="3"/>
        <v>17.5</v>
      </c>
      <c r="M14" s="140">
        <f t="shared" si="4"/>
        <v>77.5</v>
      </c>
      <c r="N14" s="63"/>
      <c r="O14" s="123" t="s">
        <v>286</v>
      </c>
      <c r="P14" s="126" t="s">
        <v>209</v>
      </c>
      <c r="Q14">
        <v>1600022</v>
      </c>
    </row>
    <row r="15" spans="1:17" ht="28.8" customHeight="1" x14ac:dyDescent="0.3">
      <c r="A15" s="71">
        <v>6</v>
      </c>
      <c r="B15" s="98" t="s">
        <v>200</v>
      </c>
      <c r="C15" s="67" t="s">
        <v>168</v>
      </c>
      <c r="D15" s="68" t="s">
        <v>173</v>
      </c>
      <c r="E15" s="63">
        <v>733</v>
      </c>
      <c r="F15" s="63">
        <v>16</v>
      </c>
      <c r="G15" s="102">
        <f t="shared" si="0"/>
        <v>1.25</v>
      </c>
      <c r="H15" s="102">
        <f t="shared" si="1"/>
        <v>20</v>
      </c>
      <c r="I15" s="102">
        <v>2</v>
      </c>
      <c r="J15" s="102">
        <v>37.5</v>
      </c>
      <c r="K15" s="102">
        <f t="shared" si="2"/>
        <v>75</v>
      </c>
      <c r="L15" s="102">
        <f t="shared" si="3"/>
        <v>17.5</v>
      </c>
      <c r="M15" s="140">
        <f t="shared" si="4"/>
        <v>77.5</v>
      </c>
      <c r="N15" s="63"/>
      <c r="O15" s="123" t="s">
        <v>208</v>
      </c>
      <c r="P15" s="126" t="s">
        <v>209</v>
      </c>
      <c r="Q15">
        <v>1600022</v>
      </c>
    </row>
    <row r="16" spans="1:17" ht="28.8" customHeight="1" x14ac:dyDescent="0.3">
      <c r="A16" s="327" t="s">
        <v>185</v>
      </c>
      <c r="B16" s="328"/>
      <c r="C16" s="328"/>
      <c r="D16" s="328"/>
      <c r="E16" s="185">
        <f>SUM(E10:E15)</f>
        <v>4205</v>
      </c>
      <c r="F16" s="93"/>
      <c r="G16" s="93"/>
      <c r="H16" s="93">
        <f>SUM(H10:H15)</f>
        <v>120</v>
      </c>
      <c r="I16" s="93"/>
      <c r="J16" s="93">
        <f>SUM(J10:J15)</f>
        <v>225</v>
      </c>
      <c r="K16" s="93">
        <f>SUM(K10:K15)</f>
        <v>450</v>
      </c>
      <c r="L16" s="93">
        <f>SUM(L10:L15)</f>
        <v>105</v>
      </c>
      <c r="M16" s="121">
        <f>SUM(M10:M15)</f>
        <v>465</v>
      </c>
      <c r="N16" s="184"/>
      <c r="O16" s="175">
        <f>M16+M29+M38</f>
        <v>4065</v>
      </c>
      <c r="P16" s="174" t="s">
        <v>263</v>
      </c>
    </row>
    <row r="17" spans="1:17" s="167" customFormat="1" ht="19.2" customHeight="1" x14ac:dyDescent="0.3">
      <c r="A17" s="345" t="s">
        <v>264</v>
      </c>
      <c r="B17" s="345"/>
      <c r="C17" s="345"/>
      <c r="D17" s="345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178"/>
      <c r="P17" s="179"/>
      <c r="Q17" s="180"/>
    </row>
    <row r="18" spans="1:17" s="167" customFormat="1" ht="19.2" customHeight="1" x14ac:dyDescent="0.3">
      <c r="A18" s="346" t="s">
        <v>270</v>
      </c>
      <c r="B18" s="346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178"/>
      <c r="P18" s="179"/>
      <c r="Q18" s="180"/>
    </row>
    <row r="19" spans="1:17" s="167" customFormat="1" ht="19.2" customHeight="1" thickBot="1" x14ac:dyDescent="0.35">
      <c r="A19" s="347" t="s">
        <v>266</v>
      </c>
      <c r="B19" s="347"/>
      <c r="C19" s="347"/>
      <c r="D19" s="177" t="s">
        <v>267</v>
      </c>
      <c r="E19" s="177" t="s">
        <v>271</v>
      </c>
      <c r="F19" s="176"/>
      <c r="G19" s="176"/>
      <c r="H19" s="176"/>
      <c r="I19" s="176"/>
      <c r="J19" s="176"/>
      <c r="K19" s="176"/>
      <c r="L19" s="176"/>
      <c r="M19" s="176"/>
      <c r="N19" s="176"/>
      <c r="O19" s="178"/>
      <c r="P19" s="179"/>
      <c r="Q19" s="180"/>
    </row>
    <row r="20" spans="1:17" ht="18.600000000000001" thickBot="1" x14ac:dyDescent="0.4">
      <c r="A20" s="340" t="s">
        <v>283</v>
      </c>
      <c r="B20" s="341"/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193"/>
    </row>
    <row r="21" spans="1:17" ht="57.6" x14ac:dyDescent="0.3">
      <c r="A21" s="109" t="s">
        <v>285</v>
      </c>
      <c r="B21" s="109" t="s">
        <v>145</v>
      </c>
      <c r="C21" s="109" t="s">
        <v>146</v>
      </c>
      <c r="D21" s="109" t="s">
        <v>147</v>
      </c>
      <c r="E21" s="111" t="s">
        <v>279</v>
      </c>
      <c r="F21" s="111" t="s">
        <v>177</v>
      </c>
      <c r="G21" s="111" t="s">
        <v>273</v>
      </c>
      <c r="H21" s="111" t="s">
        <v>274</v>
      </c>
      <c r="I21" s="111" t="s">
        <v>275</v>
      </c>
      <c r="J21" s="111" t="s">
        <v>276</v>
      </c>
      <c r="K21" s="111" t="s">
        <v>277</v>
      </c>
      <c r="L21" s="111" t="s">
        <v>278</v>
      </c>
      <c r="M21" s="111" t="s">
        <v>13</v>
      </c>
      <c r="N21" s="181" t="s">
        <v>161</v>
      </c>
      <c r="O21" s="131" t="s">
        <v>220</v>
      </c>
      <c r="P21" s="132" t="s">
        <v>229</v>
      </c>
      <c r="Q21" s="133" t="s">
        <v>219</v>
      </c>
    </row>
    <row r="22" spans="1:17" ht="31.2" customHeight="1" x14ac:dyDescent="0.3">
      <c r="A22" s="71">
        <v>7</v>
      </c>
      <c r="B22" s="73" t="s">
        <v>179</v>
      </c>
      <c r="C22" s="73" t="s">
        <v>178</v>
      </c>
      <c r="D22" s="73" t="s">
        <v>183</v>
      </c>
      <c r="E22" s="74">
        <v>553</v>
      </c>
      <c r="F22" s="63">
        <v>30</v>
      </c>
      <c r="G22" s="63">
        <v>1.25</v>
      </c>
      <c r="H22" s="63"/>
      <c r="I22" s="63">
        <v>12</v>
      </c>
      <c r="J22" s="63">
        <v>37.5</v>
      </c>
      <c r="K22" s="63">
        <f>I22*J22</f>
        <v>450</v>
      </c>
      <c r="L22" s="63">
        <v>0</v>
      </c>
      <c r="M22" s="141">
        <f>K22</f>
        <v>450</v>
      </c>
      <c r="N22" s="63"/>
      <c r="O22" s="123" t="s">
        <v>254</v>
      </c>
      <c r="P22" s="126" t="s">
        <v>209</v>
      </c>
      <c r="Q22">
        <v>1600022</v>
      </c>
    </row>
    <row r="23" spans="1:17" ht="31.2" customHeight="1" x14ac:dyDescent="0.3">
      <c r="A23" s="71">
        <v>8</v>
      </c>
      <c r="B23" s="73" t="s">
        <v>77</v>
      </c>
      <c r="C23" s="73" t="s">
        <v>73</v>
      </c>
      <c r="D23" s="73" t="s">
        <v>74</v>
      </c>
      <c r="E23" s="74">
        <v>708</v>
      </c>
      <c r="F23" s="63">
        <v>30</v>
      </c>
      <c r="G23" s="63">
        <v>1.25</v>
      </c>
      <c r="H23" s="63"/>
      <c r="I23" s="63">
        <v>12</v>
      </c>
      <c r="J23" s="63">
        <v>37.5</v>
      </c>
      <c r="K23" s="63">
        <f t="shared" ref="K23:K28" si="5">I23*J23</f>
        <v>450</v>
      </c>
      <c r="L23" s="63">
        <v>0</v>
      </c>
      <c r="M23" s="141">
        <f t="shared" ref="M23:M28" si="6">K23</f>
        <v>450</v>
      </c>
      <c r="N23" s="63"/>
      <c r="O23" s="123" t="s">
        <v>221</v>
      </c>
      <c r="P23" s="126" t="s">
        <v>205</v>
      </c>
      <c r="Q23">
        <v>1410036</v>
      </c>
    </row>
    <row r="24" spans="1:17" ht="36.6" customHeight="1" x14ac:dyDescent="0.3">
      <c r="A24" s="71">
        <v>9</v>
      </c>
      <c r="B24" s="73" t="s">
        <v>79</v>
      </c>
      <c r="C24" s="73" t="s">
        <v>78</v>
      </c>
      <c r="D24" s="73" t="s">
        <v>184</v>
      </c>
      <c r="E24" s="74">
        <v>566</v>
      </c>
      <c r="F24" s="63">
        <v>30</v>
      </c>
      <c r="G24" s="63">
        <v>1.25</v>
      </c>
      <c r="H24" s="63"/>
      <c r="I24" s="63">
        <v>12</v>
      </c>
      <c r="J24" s="63">
        <v>37.5</v>
      </c>
      <c r="K24" s="63">
        <f t="shared" si="5"/>
        <v>450</v>
      </c>
      <c r="L24" s="63">
        <v>0</v>
      </c>
      <c r="M24" s="141">
        <f t="shared" si="6"/>
        <v>450</v>
      </c>
      <c r="N24" s="63"/>
      <c r="O24" s="123" t="s">
        <v>228</v>
      </c>
      <c r="P24" s="126" t="s">
        <v>209</v>
      </c>
      <c r="Q24">
        <v>1600022</v>
      </c>
    </row>
    <row r="25" spans="1:17" ht="31.2" customHeight="1" x14ac:dyDescent="0.3">
      <c r="A25" s="71">
        <v>10</v>
      </c>
      <c r="B25" s="73" t="s">
        <v>180</v>
      </c>
      <c r="C25" s="73" t="s">
        <v>69</v>
      </c>
      <c r="D25" s="73" t="s">
        <v>66</v>
      </c>
      <c r="E25" s="74">
        <v>584</v>
      </c>
      <c r="F25" s="63">
        <v>30</v>
      </c>
      <c r="G25" s="63">
        <v>1.25</v>
      </c>
      <c r="H25" s="63"/>
      <c r="I25" s="63">
        <v>12</v>
      </c>
      <c r="J25" s="63">
        <v>37.5</v>
      </c>
      <c r="K25" s="63">
        <f t="shared" si="5"/>
        <v>450</v>
      </c>
      <c r="L25" s="63">
        <v>0</v>
      </c>
      <c r="M25" s="141">
        <f t="shared" si="6"/>
        <v>450</v>
      </c>
      <c r="N25" s="63"/>
      <c r="O25" s="123" t="s">
        <v>222</v>
      </c>
      <c r="P25" s="126" t="s">
        <v>209</v>
      </c>
      <c r="Q25">
        <v>1600022</v>
      </c>
    </row>
    <row r="26" spans="1:17" ht="31.2" customHeight="1" x14ac:dyDescent="0.3">
      <c r="A26" s="71">
        <v>11</v>
      </c>
      <c r="B26" s="73" t="s">
        <v>89</v>
      </c>
      <c r="C26" s="73" t="s">
        <v>88</v>
      </c>
      <c r="D26" s="73" t="s">
        <v>90</v>
      </c>
      <c r="E26" s="74">
        <v>527</v>
      </c>
      <c r="F26" s="63">
        <v>30</v>
      </c>
      <c r="G26" s="63">
        <v>1.25</v>
      </c>
      <c r="H26" s="63"/>
      <c r="I26" s="63">
        <v>12</v>
      </c>
      <c r="J26" s="63">
        <v>37.5</v>
      </c>
      <c r="K26" s="63">
        <f t="shared" si="5"/>
        <v>450</v>
      </c>
      <c r="L26" s="63">
        <v>0</v>
      </c>
      <c r="M26" s="141">
        <f t="shared" si="6"/>
        <v>450</v>
      </c>
      <c r="N26" s="63"/>
      <c r="O26" s="123" t="s">
        <v>218</v>
      </c>
      <c r="P26" s="126" t="s">
        <v>205</v>
      </c>
      <c r="Q26">
        <v>1410036</v>
      </c>
    </row>
    <row r="27" spans="1:17" ht="31.2" customHeight="1" x14ac:dyDescent="0.3">
      <c r="A27" s="71">
        <v>12</v>
      </c>
      <c r="B27" s="73" t="s">
        <v>181</v>
      </c>
      <c r="C27" s="73" t="s">
        <v>95</v>
      </c>
      <c r="D27" s="73" t="s">
        <v>87</v>
      </c>
      <c r="E27" s="74">
        <v>500</v>
      </c>
      <c r="F27" s="63">
        <v>30</v>
      </c>
      <c r="G27" s="63">
        <v>1.25</v>
      </c>
      <c r="H27" s="63"/>
      <c r="I27" s="63">
        <v>12</v>
      </c>
      <c r="J27" s="63">
        <v>37.5</v>
      </c>
      <c r="K27" s="63">
        <f t="shared" si="5"/>
        <v>450</v>
      </c>
      <c r="L27" s="63">
        <v>0</v>
      </c>
      <c r="M27" s="141">
        <f t="shared" si="6"/>
        <v>450</v>
      </c>
      <c r="N27" s="63"/>
      <c r="O27" s="123" t="s">
        <v>216</v>
      </c>
      <c r="P27" s="126" t="s">
        <v>217</v>
      </c>
      <c r="Q27">
        <v>1700427</v>
      </c>
    </row>
    <row r="28" spans="1:17" ht="31.2" customHeight="1" x14ac:dyDescent="0.3">
      <c r="A28" s="71">
        <v>13</v>
      </c>
      <c r="B28" s="73" t="s">
        <v>182</v>
      </c>
      <c r="C28" s="73" t="s">
        <v>65</v>
      </c>
      <c r="D28" s="73" t="s">
        <v>66</v>
      </c>
      <c r="E28" s="76">
        <v>614</v>
      </c>
      <c r="F28" s="63">
        <v>30</v>
      </c>
      <c r="G28" s="63">
        <v>1.25</v>
      </c>
      <c r="H28" s="63"/>
      <c r="I28" s="63">
        <v>12</v>
      </c>
      <c r="J28" s="63">
        <v>37.5</v>
      </c>
      <c r="K28" s="63">
        <f t="shared" si="5"/>
        <v>450</v>
      </c>
      <c r="L28" s="63">
        <v>0</v>
      </c>
      <c r="M28" s="141">
        <f t="shared" si="6"/>
        <v>450</v>
      </c>
      <c r="N28" s="77"/>
      <c r="O28" s="123" t="s">
        <v>223</v>
      </c>
      <c r="P28" s="126" t="s">
        <v>224</v>
      </c>
      <c r="Q28">
        <v>1700027</v>
      </c>
    </row>
    <row r="29" spans="1:17" x14ac:dyDescent="0.3">
      <c r="A29" s="327" t="s">
        <v>185</v>
      </c>
      <c r="B29" s="328"/>
      <c r="C29" s="328"/>
      <c r="D29" s="328"/>
      <c r="E29" s="186">
        <f>SUM(E22:E28)</f>
        <v>4052</v>
      </c>
      <c r="F29" s="79"/>
      <c r="G29" s="79"/>
      <c r="H29" s="79"/>
      <c r="I29" s="79"/>
      <c r="J29" s="79"/>
      <c r="K29" s="79">
        <f>SUM(K22:K28)</f>
        <v>3150</v>
      </c>
      <c r="L29" s="79"/>
      <c r="M29" s="79">
        <f>SUM(M22:M28)</f>
        <v>3150</v>
      </c>
      <c r="N29" s="79"/>
      <c r="O29" s="79"/>
    </row>
    <row r="30" spans="1:17" x14ac:dyDescent="0.3">
      <c r="A30" s="345" t="s">
        <v>264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178"/>
    </row>
    <row r="31" spans="1:17" x14ac:dyDescent="0.3">
      <c r="A31" s="346" t="s">
        <v>270</v>
      </c>
      <c r="B31" s="346"/>
      <c r="C31" s="346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178"/>
    </row>
    <row r="32" spans="1:17" ht="16.2" thickBot="1" x14ac:dyDescent="0.35">
      <c r="A32" s="347" t="s">
        <v>266</v>
      </c>
      <c r="B32" s="347"/>
      <c r="C32" s="347"/>
      <c r="D32" s="177" t="s">
        <v>267</v>
      </c>
      <c r="E32" s="177" t="s">
        <v>271</v>
      </c>
      <c r="F32" s="176"/>
      <c r="G32" s="176"/>
      <c r="H32" s="176"/>
      <c r="I32" s="176"/>
      <c r="J32" s="176"/>
      <c r="K32" s="176"/>
      <c r="L32" s="176"/>
      <c r="M32" s="176"/>
      <c r="N32" s="176"/>
      <c r="O32" s="178"/>
    </row>
    <row r="33" spans="1:17" ht="16.2" customHeight="1" thickBot="1" x14ac:dyDescent="0.35">
      <c r="A33" s="324" t="s">
        <v>282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194"/>
    </row>
    <row r="34" spans="1:17" ht="38.4" customHeight="1" x14ac:dyDescent="0.3">
      <c r="A34" s="188" t="s">
        <v>284</v>
      </c>
      <c r="B34" s="188" t="s">
        <v>145</v>
      </c>
      <c r="C34" s="188" t="s">
        <v>146</v>
      </c>
      <c r="D34" s="188" t="s">
        <v>147</v>
      </c>
      <c r="E34" s="188" t="s">
        <v>279</v>
      </c>
      <c r="F34" s="188" t="s">
        <v>177</v>
      </c>
      <c r="G34" s="188" t="s">
        <v>273</v>
      </c>
      <c r="H34" s="188" t="s">
        <v>274</v>
      </c>
      <c r="I34" s="188" t="s">
        <v>275</v>
      </c>
      <c r="J34" s="188" t="s">
        <v>276</v>
      </c>
      <c r="K34" s="188" t="s">
        <v>277</v>
      </c>
      <c r="L34" s="188" t="s">
        <v>278</v>
      </c>
      <c r="M34" s="188" t="s">
        <v>13</v>
      </c>
      <c r="N34" s="189" t="s">
        <v>161</v>
      </c>
      <c r="O34" s="129" t="s">
        <v>220</v>
      </c>
      <c r="P34" s="130" t="s">
        <v>229</v>
      </c>
      <c r="Q34" s="127" t="s">
        <v>219</v>
      </c>
    </row>
    <row r="35" spans="1:17" ht="31.2" customHeight="1" x14ac:dyDescent="0.3">
      <c r="A35" s="71">
        <v>0</v>
      </c>
      <c r="B35" s="73">
        <v>2200446587</v>
      </c>
      <c r="C35" s="73" t="s">
        <v>190</v>
      </c>
      <c r="D35" s="73" t="s">
        <v>191</v>
      </c>
      <c r="E35" s="91">
        <v>527</v>
      </c>
      <c r="F35" s="63"/>
      <c r="G35" s="72"/>
      <c r="H35" s="342" t="s">
        <v>281</v>
      </c>
      <c r="I35" s="343"/>
      <c r="J35" s="343"/>
      <c r="K35" s="343"/>
      <c r="L35" s="344"/>
      <c r="M35" s="141">
        <v>0</v>
      </c>
      <c r="N35" s="63"/>
      <c r="O35" s="123" t="s">
        <v>230</v>
      </c>
      <c r="P35" s="126" t="s">
        <v>209</v>
      </c>
      <c r="Q35">
        <v>1600022</v>
      </c>
    </row>
    <row r="36" spans="1:17" ht="31.2" customHeight="1" x14ac:dyDescent="0.3">
      <c r="A36" s="71">
        <v>14</v>
      </c>
      <c r="B36" s="73">
        <v>2200238240</v>
      </c>
      <c r="C36" s="73" t="s">
        <v>125</v>
      </c>
      <c r="D36" s="73" t="s">
        <v>66</v>
      </c>
      <c r="E36" s="91">
        <v>566</v>
      </c>
      <c r="F36" s="63">
        <v>30</v>
      </c>
      <c r="G36" s="72">
        <v>1.25</v>
      </c>
      <c r="H36" s="72"/>
      <c r="I36" s="72">
        <v>12</v>
      </c>
      <c r="J36" s="72">
        <v>37.5</v>
      </c>
      <c r="K36" s="72">
        <f>I36*J36</f>
        <v>450</v>
      </c>
      <c r="L36" s="72">
        <v>0</v>
      </c>
      <c r="M36" s="183">
        <f>K36</f>
        <v>450</v>
      </c>
      <c r="N36" s="152"/>
      <c r="O36" s="123" t="s">
        <v>225</v>
      </c>
      <c r="P36" s="126" t="s">
        <v>226</v>
      </c>
      <c r="Q36">
        <v>1600303</v>
      </c>
    </row>
    <row r="37" spans="1:17" ht="31.2" customHeight="1" x14ac:dyDescent="0.3">
      <c r="A37" s="71">
        <v>0</v>
      </c>
      <c r="B37" s="142" t="s">
        <v>235</v>
      </c>
      <c r="C37" s="73" t="s">
        <v>195</v>
      </c>
      <c r="D37" s="73" t="s">
        <v>196</v>
      </c>
      <c r="E37" s="91">
        <v>1212</v>
      </c>
      <c r="F37" s="63"/>
      <c r="G37" s="99"/>
      <c r="H37" s="342" t="s">
        <v>280</v>
      </c>
      <c r="I37" s="343"/>
      <c r="J37" s="343"/>
      <c r="K37" s="343"/>
      <c r="L37" s="344"/>
      <c r="M37" s="141">
        <v>0</v>
      </c>
      <c r="N37" s="152"/>
      <c r="O37" s="123" t="s">
        <v>214</v>
      </c>
      <c r="P37" s="126" t="s">
        <v>213</v>
      </c>
      <c r="Q37">
        <v>2600021</v>
      </c>
    </row>
    <row r="38" spans="1:17" ht="31.2" customHeight="1" x14ac:dyDescent="0.3">
      <c r="A38" s="332" t="s">
        <v>185</v>
      </c>
      <c r="B38" s="333"/>
      <c r="C38" s="333"/>
      <c r="D38" s="333"/>
      <c r="E38" s="187">
        <f>SUM(E35:E37)</f>
        <v>2305</v>
      </c>
      <c r="F38" s="63"/>
      <c r="G38" s="63"/>
      <c r="H38" s="136"/>
      <c r="I38" s="136"/>
      <c r="J38" s="136"/>
      <c r="K38" s="136"/>
      <c r="L38" s="136"/>
      <c r="M38" s="136">
        <f>SUM(M35:M37)</f>
        <v>450</v>
      </c>
      <c r="N38" s="136"/>
      <c r="O38" s="137"/>
    </row>
    <row r="40" spans="1:17" x14ac:dyDescent="0.3">
      <c r="C40" s="167"/>
      <c r="D40" s="170" t="s">
        <v>28</v>
      </c>
      <c r="E40" s="170"/>
      <c r="F40" s="84"/>
      <c r="I40" s="85"/>
      <c r="J40" s="330" t="s">
        <v>187</v>
      </c>
      <c r="K40" s="330"/>
      <c r="L40" s="330"/>
    </row>
    <row r="41" spans="1:17" x14ac:dyDescent="0.3">
      <c r="C41" s="170"/>
      <c r="D41" s="170"/>
      <c r="E41" s="170"/>
      <c r="F41" s="84"/>
      <c r="I41" s="85"/>
      <c r="J41" s="85"/>
      <c r="K41" s="170"/>
      <c r="L41" s="170"/>
    </row>
    <row r="42" spans="1:17" x14ac:dyDescent="0.3">
      <c r="C42" s="88"/>
      <c r="D42" s="146"/>
      <c r="E42" s="145"/>
      <c r="F42" s="84"/>
      <c r="I42" s="85"/>
      <c r="J42" s="182"/>
      <c r="K42" s="145"/>
      <c r="L42" s="145"/>
    </row>
    <row r="43" spans="1:17" x14ac:dyDescent="0.3">
      <c r="D43" s="170" t="s">
        <v>188</v>
      </c>
      <c r="E43" s="170"/>
      <c r="F43" s="170"/>
      <c r="I43" s="85"/>
      <c r="J43" s="85"/>
      <c r="K43" s="170" t="s">
        <v>189</v>
      </c>
      <c r="L43" s="170"/>
    </row>
    <row r="44" spans="1:17" x14ac:dyDescent="0.3">
      <c r="D44" s="172" t="s">
        <v>238</v>
      </c>
      <c r="E44" s="172"/>
      <c r="F44" s="172"/>
      <c r="K44" s="172" t="s">
        <v>237</v>
      </c>
      <c r="L44" s="172"/>
    </row>
  </sheetData>
  <mergeCells count="19">
    <mergeCell ref="J40:L40"/>
    <mergeCell ref="H35:L35"/>
    <mergeCell ref="H37:L37"/>
    <mergeCell ref="A5:N5"/>
    <mergeCell ref="A6:N6"/>
    <mergeCell ref="A7:C7"/>
    <mergeCell ref="A17:N17"/>
    <mergeCell ref="A18:N18"/>
    <mergeCell ref="A19:C19"/>
    <mergeCell ref="A30:N30"/>
    <mergeCell ref="A31:N31"/>
    <mergeCell ref="A32:C32"/>
    <mergeCell ref="A16:D16"/>
    <mergeCell ref="A29:D29"/>
    <mergeCell ref="A38:D38"/>
    <mergeCell ref="A1:N4"/>
    <mergeCell ref="A8:N8"/>
    <mergeCell ref="A20:N20"/>
    <mergeCell ref="A33:N33"/>
  </mergeCells>
  <pageMargins left="0.7" right="0.7" top="0.75" bottom="0.75" header="0.3" footer="0.3"/>
  <pageSetup paperSize="9" scale="60" orientation="landscape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67"/>
  <sheetViews>
    <sheetView topLeftCell="A6" zoomScale="82" zoomScaleNormal="82" workbookViewId="0">
      <selection activeCell="U8" sqref="U8"/>
    </sheetView>
  </sheetViews>
  <sheetFormatPr baseColWidth="10" defaultRowHeight="15.6" outlineLevelCol="1" x14ac:dyDescent="0.3"/>
  <cols>
    <col min="1" max="1" width="8.6640625" bestFit="1" customWidth="1"/>
    <col min="2" max="2" width="7.33203125" customWidth="1"/>
    <col min="3" max="3" width="12.77734375" bestFit="1" customWidth="1"/>
    <col min="4" max="4" width="33.33203125" customWidth="1"/>
    <col min="5" max="5" width="18.109375" customWidth="1"/>
    <col min="6" max="6" width="10.44140625" customWidth="1"/>
    <col min="7" max="7" width="7.77734375" customWidth="1" outlineLevel="1"/>
    <col min="8" max="8" width="9.33203125" customWidth="1" outlineLevel="1"/>
    <col min="9" max="9" width="9" customWidth="1" outlineLevel="1"/>
    <col min="10" max="10" width="8.33203125" customWidth="1" outlineLevel="1"/>
    <col min="11" max="11" width="9.77734375" customWidth="1" outlineLevel="1"/>
    <col min="12" max="12" width="9.88671875" customWidth="1" outlineLevel="1"/>
    <col min="13" max="13" width="10.109375" customWidth="1" outlineLevel="1"/>
    <col min="14" max="14" width="7" customWidth="1" outlineLevel="1"/>
    <col min="15" max="15" width="6.77734375" customWidth="1" outlineLevel="1"/>
    <col min="16" max="16" width="7.6640625" customWidth="1" outlineLevel="1"/>
    <col min="17" max="17" width="7.77734375" customWidth="1" outlineLevel="1"/>
    <col min="18" max="18" width="8" customWidth="1"/>
    <col min="21" max="21" width="24" customWidth="1"/>
    <col min="22" max="22" width="15.5546875" style="123" customWidth="1"/>
    <col min="23" max="23" width="18.33203125" style="126" customWidth="1"/>
    <col min="24" max="24" width="13.88671875" customWidth="1"/>
    <col min="25" max="25" width="10" customWidth="1"/>
  </cols>
  <sheetData>
    <row r="1" spans="1:24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/>
    </row>
    <row r="2" spans="1:24" x14ac:dyDescent="0.3">
      <c r="A2" s="307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9"/>
    </row>
    <row r="3" spans="1:24" x14ac:dyDescent="0.3">
      <c r="A3" s="307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9"/>
    </row>
    <row r="4" spans="1:24" x14ac:dyDescent="0.3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9"/>
    </row>
    <row r="5" spans="1:24" ht="16.2" thickBot="1" x14ac:dyDescent="0.35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2"/>
    </row>
    <row r="6" spans="1:24" ht="18.600000000000001" thickBot="1" x14ac:dyDescent="0.4">
      <c r="A6" s="318" t="s">
        <v>287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1:24" ht="55.2" customHeight="1" x14ac:dyDescent="0.3">
      <c r="A7" s="116" t="s">
        <v>143</v>
      </c>
      <c r="B7" s="117" t="s">
        <v>144</v>
      </c>
      <c r="C7" s="117" t="s">
        <v>145</v>
      </c>
      <c r="D7" s="117" t="s">
        <v>146</v>
      </c>
      <c r="E7" s="117" t="s">
        <v>147</v>
      </c>
      <c r="F7" s="117" t="s">
        <v>148</v>
      </c>
      <c r="G7" s="117" t="s">
        <v>177</v>
      </c>
      <c r="H7" s="117" t="s">
        <v>174</v>
      </c>
      <c r="I7" s="117" t="s">
        <v>149</v>
      </c>
      <c r="J7" s="117" t="s">
        <v>150</v>
      </c>
      <c r="K7" s="117" t="s">
        <v>152</v>
      </c>
      <c r="L7" s="117" t="s">
        <v>186</v>
      </c>
      <c r="M7" s="117" t="s">
        <v>154</v>
      </c>
      <c r="N7" s="117" t="s">
        <v>155</v>
      </c>
      <c r="O7" s="117" t="s">
        <v>156</v>
      </c>
      <c r="P7" s="117" t="s">
        <v>157</v>
      </c>
      <c r="Q7" s="117" t="s">
        <v>158</v>
      </c>
      <c r="R7" s="117" t="s">
        <v>159</v>
      </c>
      <c r="S7" s="117" t="s">
        <v>160</v>
      </c>
      <c r="T7" s="117" t="s">
        <v>13</v>
      </c>
      <c r="U7" s="118" t="s">
        <v>161</v>
      </c>
      <c r="V7" s="129" t="s">
        <v>220</v>
      </c>
      <c r="W7" s="130" t="s">
        <v>229</v>
      </c>
      <c r="X7" s="127" t="s">
        <v>219</v>
      </c>
    </row>
    <row r="8" spans="1:24" ht="28.8" customHeight="1" x14ac:dyDescent="0.3">
      <c r="A8" s="71" t="s">
        <v>134</v>
      </c>
      <c r="B8" s="71">
        <v>2023</v>
      </c>
      <c r="C8" s="94">
        <v>1500721202</v>
      </c>
      <c r="D8" s="64" t="s">
        <v>163</v>
      </c>
      <c r="E8" s="65" t="s">
        <v>301</v>
      </c>
      <c r="F8" s="63">
        <v>1340</v>
      </c>
      <c r="G8" s="63">
        <v>30</v>
      </c>
      <c r="H8" s="72">
        <f t="shared" ref="H8:H13" si="0">ROUND(F8/30*G8,2)</f>
        <v>1340</v>
      </c>
      <c r="I8" s="72"/>
      <c r="J8" s="63"/>
      <c r="K8" s="119">
        <f t="shared" ref="K8:K13" si="1">ROUND(H8+I8+J8,2)</f>
        <v>1340</v>
      </c>
      <c r="L8" s="83">
        <f t="shared" ref="L8:L13" si="2">ROUND(H8*11.45%,2)</f>
        <v>153.43</v>
      </c>
      <c r="M8" s="83">
        <f t="shared" ref="M8:M13" si="3">ROUND(H8*11.65%,2)</f>
        <v>156.11000000000001</v>
      </c>
      <c r="N8" s="63">
        <v>51</v>
      </c>
      <c r="O8" s="63"/>
      <c r="P8" s="63"/>
      <c r="Q8" s="63"/>
      <c r="R8" s="120">
        <f t="shared" ref="R8:R13" si="4">L8+O8+P8+Q8</f>
        <v>153.43</v>
      </c>
      <c r="S8" s="147">
        <f>1340*2/7</f>
        <v>382.85714285714283</v>
      </c>
      <c r="T8" s="140">
        <f t="shared" ref="T8:T13" si="5">+K8-R8-S8</f>
        <v>803.71285714285705</v>
      </c>
      <c r="U8" s="63"/>
      <c r="V8" s="123" t="s">
        <v>207</v>
      </c>
      <c r="W8" s="126" t="s">
        <v>206</v>
      </c>
      <c r="X8">
        <v>1700511</v>
      </c>
    </row>
    <row r="9" spans="1:24" ht="28.8" customHeight="1" x14ac:dyDescent="0.3">
      <c r="A9" s="71" t="s">
        <v>134</v>
      </c>
      <c r="B9" s="71">
        <v>2023</v>
      </c>
      <c r="C9" s="95" t="s">
        <v>198</v>
      </c>
      <c r="D9" s="66" t="s">
        <v>164</v>
      </c>
      <c r="E9" s="65" t="s">
        <v>169</v>
      </c>
      <c r="F9" s="63">
        <v>536</v>
      </c>
      <c r="G9" s="63">
        <v>30</v>
      </c>
      <c r="H9" s="72">
        <f t="shared" si="0"/>
        <v>536</v>
      </c>
      <c r="I9" s="72"/>
      <c r="J9" s="63"/>
      <c r="K9" s="119">
        <f t="shared" si="1"/>
        <v>536</v>
      </c>
      <c r="L9" s="83">
        <f t="shared" si="2"/>
        <v>61.37</v>
      </c>
      <c r="M9" s="83">
        <f t="shared" si="3"/>
        <v>62.44</v>
      </c>
      <c r="N9" s="63">
        <v>51</v>
      </c>
      <c r="O9" s="63"/>
      <c r="P9" s="72">
        <v>105</v>
      </c>
      <c r="Q9" s="63"/>
      <c r="R9" s="120">
        <f t="shared" si="4"/>
        <v>166.37</v>
      </c>
      <c r="S9" s="72"/>
      <c r="T9" s="140">
        <f>+K9-R9-S9</f>
        <v>369.63</v>
      </c>
      <c r="U9" s="63"/>
      <c r="V9" s="123" t="s">
        <v>211</v>
      </c>
      <c r="W9" s="126" t="s">
        <v>205</v>
      </c>
      <c r="X9">
        <v>1410036</v>
      </c>
    </row>
    <row r="10" spans="1:24" ht="28.8" customHeight="1" x14ac:dyDescent="0.3">
      <c r="A10" s="71" t="s">
        <v>134</v>
      </c>
      <c r="B10" s="71">
        <v>2023</v>
      </c>
      <c r="C10" s="95" t="s">
        <v>199</v>
      </c>
      <c r="D10" s="64" t="s">
        <v>302</v>
      </c>
      <c r="E10" s="65" t="s">
        <v>170</v>
      </c>
      <c r="F10" s="63">
        <v>536</v>
      </c>
      <c r="G10" s="63">
        <v>30</v>
      </c>
      <c r="H10" s="72">
        <f t="shared" si="0"/>
        <v>536</v>
      </c>
      <c r="I10" s="72"/>
      <c r="J10" s="63"/>
      <c r="K10" s="119">
        <f t="shared" si="1"/>
        <v>536</v>
      </c>
      <c r="L10" s="83">
        <f t="shared" si="2"/>
        <v>61.37</v>
      </c>
      <c r="M10" s="83">
        <f t="shared" si="3"/>
        <v>62.44</v>
      </c>
      <c r="N10" s="63">
        <v>51</v>
      </c>
      <c r="O10" s="63"/>
      <c r="P10" s="63">
        <v>78.349999999999994</v>
      </c>
      <c r="Q10" s="63"/>
      <c r="R10" s="120">
        <f t="shared" si="4"/>
        <v>139.72</v>
      </c>
      <c r="S10" s="63">
        <f>536*3/6</f>
        <v>268</v>
      </c>
      <c r="T10" s="140">
        <f t="shared" si="5"/>
        <v>128.27999999999997</v>
      </c>
      <c r="U10" s="63"/>
      <c r="V10" s="123" t="s">
        <v>210</v>
      </c>
      <c r="W10" s="126" t="s">
        <v>205</v>
      </c>
      <c r="X10">
        <v>1410036</v>
      </c>
    </row>
    <row r="11" spans="1:24" ht="28.8" customHeight="1" x14ac:dyDescent="0.3">
      <c r="A11" s="71" t="s">
        <v>134</v>
      </c>
      <c r="B11" s="71">
        <v>2023</v>
      </c>
      <c r="C11" s="96">
        <v>1500367295</v>
      </c>
      <c r="D11" s="64" t="s">
        <v>166</v>
      </c>
      <c r="E11" s="65" t="s">
        <v>171</v>
      </c>
      <c r="F11" s="63">
        <v>536</v>
      </c>
      <c r="G11" s="63">
        <v>30</v>
      </c>
      <c r="H11" s="72">
        <f t="shared" si="0"/>
        <v>536</v>
      </c>
      <c r="I11" s="72"/>
      <c r="J11" s="63"/>
      <c r="K11" s="119">
        <f t="shared" si="1"/>
        <v>536</v>
      </c>
      <c r="L11" s="83">
        <f t="shared" si="2"/>
        <v>61.37</v>
      </c>
      <c r="M11" s="83">
        <f t="shared" si="3"/>
        <v>62.44</v>
      </c>
      <c r="N11" s="63">
        <v>51</v>
      </c>
      <c r="O11" s="63"/>
      <c r="P11" s="63">
        <v>85</v>
      </c>
      <c r="Q11" s="63"/>
      <c r="R11" s="120">
        <f>L11+O11+P11+Q11</f>
        <v>146.37</v>
      </c>
      <c r="S11" s="63">
        <f>536*3/6</f>
        <v>268</v>
      </c>
      <c r="T11" s="140">
        <f>+K11-R11-S11</f>
        <v>121.63</v>
      </c>
      <c r="U11" s="63"/>
      <c r="V11" s="123">
        <v>4005110329</v>
      </c>
      <c r="W11" s="126" t="s">
        <v>205</v>
      </c>
      <c r="X11">
        <v>1410036</v>
      </c>
    </row>
    <row r="12" spans="1:24" ht="28.8" customHeight="1" x14ac:dyDescent="0.3">
      <c r="A12" s="71" t="s">
        <v>134</v>
      </c>
      <c r="B12" s="71">
        <v>2023</v>
      </c>
      <c r="C12" s="97">
        <v>1500814940</v>
      </c>
      <c r="D12" s="66" t="s">
        <v>167</v>
      </c>
      <c r="E12" s="65" t="s">
        <v>172</v>
      </c>
      <c r="F12" s="63">
        <v>536</v>
      </c>
      <c r="G12" s="63">
        <v>30</v>
      </c>
      <c r="H12" s="72">
        <f t="shared" si="0"/>
        <v>536</v>
      </c>
      <c r="I12" s="72"/>
      <c r="J12" s="63"/>
      <c r="K12" s="119">
        <f t="shared" si="1"/>
        <v>536</v>
      </c>
      <c r="L12" s="83">
        <f t="shared" si="2"/>
        <v>61.37</v>
      </c>
      <c r="M12" s="83">
        <f t="shared" si="3"/>
        <v>62.44</v>
      </c>
      <c r="N12" s="63">
        <v>51</v>
      </c>
      <c r="O12" s="63"/>
      <c r="P12" s="63">
        <v>72.349999999999994</v>
      </c>
      <c r="Q12" s="63"/>
      <c r="R12" s="120">
        <f t="shared" si="4"/>
        <v>133.72</v>
      </c>
      <c r="S12" s="72">
        <f>536*3/7</f>
        <v>229.71428571428572</v>
      </c>
      <c r="T12" s="140">
        <f>+K12-R12-S12</f>
        <v>172.56571428571425</v>
      </c>
      <c r="U12" s="63"/>
      <c r="V12" s="123" t="s">
        <v>286</v>
      </c>
      <c r="W12" s="126" t="s">
        <v>209</v>
      </c>
      <c r="X12">
        <v>1600022</v>
      </c>
    </row>
    <row r="13" spans="1:24" ht="28.8" customHeight="1" x14ac:dyDescent="0.3">
      <c r="A13" s="71" t="s">
        <v>134</v>
      </c>
      <c r="B13" s="71">
        <v>2023</v>
      </c>
      <c r="C13" s="98" t="s">
        <v>200</v>
      </c>
      <c r="D13" s="67" t="s">
        <v>168</v>
      </c>
      <c r="E13" s="68" t="s">
        <v>173</v>
      </c>
      <c r="F13" s="63">
        <v>733</v>
      </c>
      <c r="G13" s="63">
        <v>30</v>
      </c>
      <c r="H13" s="72">
        <f t="shared" si="0"/>
        <v>733</v>
      </c>
      <c r="I13" s="72"/>
      <c r="J13" s="63"/>
      <c r="K13" s="119">
        <f t="shared" si="1"/>
        <v>733</v>
      </c>
      <c r="L13" s="83">
        <f t="shared" si="2"/>
        <v>83.93</v>
      </c>
      <c r="M13" s="83">
        <f t="shared" si="3"/>
        <v>85.39</v>
      </c>
      <c r="N13" s="63">
        <v>51</v>
      </c>
      <c r="O13" s="63"/>
      <c r="P13" s="63"/>
      <c r="Q13" s="63"/>
      <c r="R13" s="120">
        <f t="shared" si="4"/>
        <v>83.93</v>
      </c>
      <c r="S13" s="63"/>
      <c r="T13" s="140">
        <f t="shared" si="5"/>
        <v>649.06999999999994</v>
      </c>
      <c r="U13" s="63"/>
      <c r="V13" s="123" t="s">
        <v>208</v>
      </c>
      <c r="W13" s="126" t="s">
        <v>209</v>
      </c>
      <c r="X13">
        <v>1600022</v>
      </c>
    </row>
    <row r="14" spans="1:24" ht="28.8" customHeight="1" x14ac:dyDescent="0.3">
      <c r="A14" s="327" t="s">
        <v>185</v>
      </c>
      <c r="B14" s="328"/>
      <c r="C14" s="328"/>
      <c r="D14" s="328"/>
      <c r="E14" s="329"/>
      <c r="F14" s="149">
        <f>SUM(F8:F13)</f>
        <v>4217</v>
      </c>
      <c r="G14" s="149">
        <f t="shared" ref="G14:S14" si="6">SUM(G8:G13)</f>
        <v>180</v>
      </c>
      <c r="H14" s="149">
        <f t="shared" si="6"/>
        <v>4217</v>
      </c>
      <c r="I14" s="149">
        <f t="shared" si="6"/>
        <v>0</v>
      </c>
      <c r="J14" s="149">
        <f t="shared" si="6"/>
        <v>0</v>
      </c>
      <c r="K14" s="149">
        <f t="shared" si="6"/>
        <v>4217</v>
      </c>
      <c r="L14" s="149">
        <f t="shared" si="6"/>
        <v>482.84000000000003</v>
      </c>
      <c r="M14" s="149">
        <f t="shared" si="6"/>
        <v>491.26</v>
      </c>
      <c r="N14" s="149">
        <f t="shared" si="6"/>
        <v>306</v>
      </c>
      <c r="O14" s="149">
        <f t="shared" si="6"/>
        <v>0</v>
      </c>
      <c r="P14" s="149">
        <f t="shared" si="6"/>
        <v>340.70000000000005</v>
      </c>
      <c r="Q14" s="149">
        <f t="shared" si="6"/>
        <v>0</v>
      </c>
      <c r="R14" s="150">
        <f t="shared" si="6"/>
        <v>823.54</v>
      </c>
      <c r="S14" s="149">
        <f t="shared" si="6"/>
        <v>1148.5714285714287</v>
      </c>
      <c r="T14" s="155">
        <f>SUM(T8:T13)</f>
        <v>2244.8885714285711</v>
      </c>
      <c r="U14" s="93"/>
    </row>
    <row r="15" spans="1:24" x14ac:dyDescent="0.3">
      <c r="A15" s="69"/>
      <c r="B15" s="69"/>
      <c r="C15" s="80"/>
      <c r="D15" s="81"/>
      <c r="E15" s="82"/>
      <c r="F15" s="2"/>
      <c r="G15" s="2"/>
      <c r="H15" s="70"/>
      <c r="I15" s="2"/>
      <c r="J15" s="2"/>
      <c r="K15" s="2"/>
      <c r="L15" s="159">
        <f>H12*11.45%</f>
        <v>61.371999999999993</v>
      </c>
      <c r="M15" s="2"/>
      <c r="N15" s="2"/>
      <c r="O15" s="2"/>
      <c r="P15" s="2"/>
      <c r="Q15" s="2"/>
      <c r="R15" s="2"/>
      <c r="S15" s="2"/>
      <c r="T15" s="2"/>
      <c r="U15" s="2"/>
      <c r="W15" s="148">
        <f>T14+T36+T62</f>
        <v>6480.1471102380956</v>
      </c>
    </row>
    <row r="16" spans="1:24" x14ac:dyDescent="0.3">
      <c r="A16" s="69"/>
      <c r="B16" s="69"/>
      <c r="C16" s="80"/>
      <c r="D16" s="81"/>
      <c r="E16" s="330" t="s">
        <v>28</v>
      </c>
      <c r="F16" s="330"/>
      <c r="G16" s="330"/>
      <c r="H16" s="84"/>
      <c r="I16" s="85"/>
      <c r="J16" s="85"/>
      <c r="K16" s="86"/>
      <c r="L16" s="330" t="s">
        <v>187</v>
      </c>
      <c r="M16" s="330"/>
      <c r="N16" s="330"/>
      <c r="O16" s="330"/>
      <c r="P16" s="330"/>
      <c r="Q16" s="330"/>
      <c r="R16" s="2"/>
      <c r="S16" s="2"/>
      <c r="T16" s="2"/>
      <c r="U16" s="2"/>
    </row>
    <row r="17" spans="1:24" x14ac:dyDescent="0.3">
      <c r="A17" s="69"/>
      <c r="B17" s="69"/>
      <c r="C17" s="80"/>
      <c r="D17" s="81"/>
      <c r="E17" s="196"/>
      <c r="F17" s="196"/>
      <c r="G17" s="196"/>
      <c r="H17" s="84"/>
      <c r="I17" s="85"/>
      <c r="J17" s="85"/>
      <c r="K17" s="86"/>
      <c r="L17" s="196"/>
      <c r="M17" s="196"/>
      <c r="N17" s="196"/>
      <c r="O17" s="196"/>
      <c r="P17" s="196"/>
      <c r="Q17" s="196"/>
      <c r="R17" s="2"/>
      <c r="S17" s="2"/>
      <c r="T17" s="2"/>
      <c r="U17" s="2"/>
    </row>
    <row r="18" spans="1:24" x14ac:dyDescent="0.3">
      <c r="E18" s="145"/>
      <c r="F18" s="146"/>
      <c r="G18" s="145"/>
      <c r="H18" s="146"/>
      <c r="I18" s="85"/>
      <c r="J18" s="85"/>
      <c r="K18" s="88"/>
      <c r="L18" s="88"/>
      <c r="M18" s="88"/>
      <c r="N18" s="88"/>
      <c r="O18" s="88"/>
      <c r="P18" s="89"/>
      <c r="Q18" s="89"/>
    </row>
    <row r="19" spans="1:24" x14ac:dyDescent="0.3">
      <c r="E19" s="317" t="s">
        <v>188</v>
      </c>
      <c r="F19" s="317"/>
      <c r="G19" s="317"/>
      <c r="H19" s="317"/>
      <c r="I19" s="85"/>
      <c r="J19" s="85"/>
      <c r="K19" s="88"/>
      <c r="L19" s="331" t="s">
        <v>189</v>
      </c>
      <c r="M19" s="331"/>
      <c r="N19" s="331"/>
      <c r="O19" s="331"/>
      <c r="P19" s="331"/>
      <c r="Q19" s="331"/>
    </row>
    <row r="20" spans="1:24" x14ac:dyDescent="0.3">
      <c r="E20" s="316" t="s">
        <v>238</v>
      </c>
      <c r="F20" s="316"/>
      <c r="G20" s="316"/>
      <c r="H20" s="316"/>
      <c r="L20" s="316" t="s">
        <v>237</v>
      </c>
      <c r="M20" s="316"/>
      <c r="N20" s="316"/>
      <c r="O20" s="316"/>
      <c r="P20" s="316"/>
      <c r="Q20" s="316"/>
    </row>
    <row r="21" spans="1:24" ht="16.2" thickBot="1" x14ac:dyDescent="0.35">
      <c r="E21" s="195"/>
      <c r="F21" s="195"/>
      <c r="G21" s="195"/>
      <c r="H21" s="84"/>
      <c r="I21" s="85"/>
      <c r="J21" s="85"/>
      <c r="K21" s="88"/>
      <c r="L21" s="195"/>
      <c r="M21" s="195"/>
      <c r="N21" s="195"/>
      <c r="O21" s="195"/>
      <c r="P21" s="195"/>
      <c r="Q21" s="195"/>
    </row>
    <row r="22" spans="1:24" ht="25.2" customHeight="1" x14ac:dyDescent="0.3">
      <c r="A22" s="294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6"/>
    </row>
    <row r="23" spans="1:24" x14ac:dyDescent="0.3">
      <c r="A23" s="307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9"/>
    </row>
    <row r="24" spans="1:24" x14ac:dyDescent="0.3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9"/>
    </row>
    <row r="25" spans="1:24" x14ac:dyDescent="0.3">
      <c r="A25" s="307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9"/>
    </row>
    <row r="26" spans="1:24" ht="16.2" thickBot="1" x14ac:dyDescent="0.35">
      <c r="A26" s="307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9"/>
    </row>
    <row r="27" spans="1:24" ht="18.600000000000001" thickBot="1" x14ac:dyDescent="0.4">
      <c r="A27" s="321" t="s">
        <v>288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3"/>
    </row>
    <row r="28" spans="1:24" ht="57.6" x14ac:dyDescent="0.3">
      <c r="A28" s="108" t="s">
        <v>143</v>
      </c>
      <c r="B28" s="109" t="s">
        <v>144</v>
      </c>
      <c r="C28" s="109" t="s">
        <v>145</v>
      </c>
      <c r="D28" s="109" t="s">
        <v>146</v>
      </c>
      <c r="E28" s="109" t="s">
        <v>147</v>
      </c>
      <c r="F28" s="109" t="s">
        <v>148</v>
      </c>
      <c r="G28" s="109" t="s">
        <v>151</v>
      </c>
      <c r="H28" s="109" t="s">
        <v>174</v>
      </c>
      <c r="I28" s="109" t="s">
        <v>149</v>
      </c>
      <c r="J28" s="109" t="s">
        <v>150</v>
      </c>
      <c r="K28" s="109" t="s">
        <v>152</v>
      </c>
      <c r="L28" s="109" t="s">
        <v>153</v>
      </c>
      <c r="M28" s="109" t="s">
        <v>197</v>
      </c>
      <c r="N28" s="109" t="s">
        <v>155</v>
      </c>
      <c r="O28" s="109" t="s">
        <v>305</v>
      </c>
      <c r="P28" s="109" t="s">
        <v>157</v>
      </c>
      <c r="Q28" s="109" t="s">
        <v>158</v>
      </c>
      <c r="R28" s="109" t="s">
        <v>159</v>
      </c>
      <c r="S28" s="109" t="s">
        <v>160</v>
      </c>
      <c r="T28" s="109" t="s">
        <v>13</v>
      </c>
      <c r="U28" s="115" t="s">
        <v>161</v>
      </c>
      <c r="V28" s="131" t="s">
        <v>220</v>
      </c>
      <c r="W28" s="132" t="s">
        <v>229</v>
      </c>
      <c r="X28" s="133" t="s">
        <v>219</v>
      </c>
    </row>
    <row r="29" spans="1:24" ht="31.2" customHeight="1" x14ac:dyDescent="0.3">
      <c r="A29" s="71" t="s">
        <v>134</v>
      </c>
      <c r="B29" s="71">
        <v>2023</v>
      </c>
      <c r="C29" s="73" t="s">
        <v>179</v>
      </c>
      <c r="D29" s="73" t="s">
        <v>178</v>
      </c>
      <c r="E29" s="73" t="s">
        <v>183</v>
      </c>
      <c r="F29" s="74">
        <v>553</v>
      </c>
      <c r="G29" s="63">
        <v>30</v>
      </c>
      <c r="H29" s="72">
        <f t="shared" ref="H29:H35" si="7">F29</f>
        <v>553</v>
      </c>
      <c r="I29" s="63"/>
      <c r="J29" s="63"/>
      <c r="K29" s="200">
        <f>ROUND(H29+I29+J29,2)</f>
        <v>553</v>
      </c>
      <c r="L29" s="72">
        <f>F29*9.45%</f>
        <v>52.258499999999991</v>
      </c>
      <c r="M29" s="72">
        <f>F29*12.15%</f>
        <v>67.189499999999995</v>
      </c>
      <c r="N29" s="63">
        <v>71</v>
      </c>
      <c r="O29" s="63"/>
      <c r="P29" s="63"/>
      <c r="Q29" s="63"/>
      <c r="R29" s="72">
        <f t="shared" ref="R29:R35" si="8">L29+O29+P29+Q29</f>
        <v>52.258499999999991</v>
      </c>
      <c r="S29" s="102"/>
      <c r="T29" s="141">
        <f t="shared" ref="T29:T35" si="9">K29-R29-S29</f>
        <v>500.74150000000003</v>
      </c>
      <c r="U29" s="152">
        <f>T29+S29</f>
        <v>500.74150000000003</v>
      </c>
      <c r="V29" s="123" t="s">
        <v>254</v>
      </c>
      <c r="W29" s="126" t="s">
        <v>209</v>
      </c>
      <c r="X29">
        <v>1600022</v>
      </c>
    </row>
    <row r="30" spans="1:24" ht="31.2" customHeight="1" x14ac:dyDescent="0.3">
      <c r="A30" s="71" t="s">
        <v>134</v>
      </c>
      <c r="B30" s="71">
        <v>2023</v>
      </c>
      <c r="C30" s="73" t="s">
        <v>77</v>
      </c>
      <c r="D30" s="73" t="s">
        <v>73</v>
      </c>
      <c r="E30" s="73" t="s">
        <v>74</v>
      </c>
      <c r="F30" s="74">
        <v>708</v>
      </c>
      <c r="G30" s="63">
        <v>30</v>
      </c>
      <c r="H30" s="72">
        <f t="shared" si="7"/>
        <v>708</v>
      </c>
      <c r="I30" s="63"/>
      <c r="J30" s="63"/>
      <c r="K30" s="75">
        <f t="shared" ref="K30:K35" si="10">ROUND(H30+I30+J30,2)</f>
        <v>708</v>
      </c>
      <c r="L30" s="72">
        <f t="shared" ref="L30:L35" si="11">F30*9.45%</f>
        <v>66.905999999999992</v>
      </c>
      <c r="M30" s="72">
        <f t="shared" ref="M30:M35" si="12">F30*12.15%</f>
        <v>86.021999999999991</v>
      </c>
      <c r="N30" s="63">
        <v>71</v>
      </c>
      <c r="O30" s="102"/>
      <c r="P30" s="102"/>
      <c r="Q30" s="102"/>
      <c r="R30" s="72">
        <f t="shared" si="8"/>
        <v>66.905999999999992</v>
      </c>
      <c r="S30" s="200">
        <f>1416/9</f>
        <v>157.33333333333334</v>
      </c>
      <c r="T30" s="141">
        <f t="shared" si="9"/>
        <v>483.76066666666668</v>
      </c>
      <c r="U30" s="152">
        <f t="shared" ref="U30:U35" si="13">T30+S30</f>
        <v>641.09400000000005</v>
      </c>
      <c r="V30" s="123" t="s">
        <v>221</v>
      </c>
      <c r="W30" s="126" t="s">
        <v>205</v>
      </c>
      <c r="X30">
        <v>1410036</v>
      </c>
    </row>
    <row r="31" spans="1:24" ht="36.6" customHeight="1" x14ac:dyDescent="0.3">
      <c r="A31" s="71" t="s">
        <v>134</v>
      </c>
      <c r="B31" s="71">
        <v>2023</v>
      </c>
      <c r="C31" s="73" t="s">
        <v>79</v>
      </c>
      <c r="D31" s="73" t="s">
        <v>78</v>
      </c>
      <c r="E31" s="73" t="s">
        <v>184</v>
      </c>
      <c r="F31" s="74">
        <v>566</v>
      </c>
      <c r="G31" s="63">
        <v>30</v>
      </c>
      <c r="H31" s="72">
        <f t="shared" si="7"/>
        <v>566</v>
      </c>
      <c r="I31" s="63"/>
      <c r="J31" s="63"/>
      <c r="K31" s="75">
        <f t="shared" si="10"/>
        <v>566</v>
      </c>
      <c r="L31" s="72">
        <f t="shared" si="11"/>
        <v>53.486999999999995</v>
      </c>
      <c r="M31" s="72">
        <f t="shared" si="12"/>
        <v>68.768999999999991</v>
      </c>
      <c r="N31" s="63">
        <v>71</v>
      </c>
      <c r="O31" s="202">
        <v>89.85</v>
      </c>
      <c r="P31" s="102"/>
      <c r="Q31" s="102"/>
      <c r="R31" s="72">
        <f t="shared" si="8"/>
        <v>143.33699999999999</v>
      </c>
      <c r="S31" s="202">
        <f>1698/6</f>
        <v>283</v>
      </c>
      <c r="T31" s="141">
        <f t="shared" si="9"/>
        <v>139.66300000000001</v>
      </c>
      <c r="U31" s="152">
        <f t="shared" si="13"/>
        <v>422.66300000000001</v>
      </c>
      <c r="V31" s="123" t="s">
        <v>228</v>
      </c>
      <c r="W31" s="126" t="s">
        <v>209</v>
      </c>
      <c r="X31">
        <v>1600022</v>
      </c>
    </row>
    <row r="32" spans="1:24" ht="31.2" customHeight="1" x14ac:dyDescent="0.3">
      <c r="A32" s="71" t="s">
        <v>134</v>
      </c>
      <c r="B32" s="71">
        <v>2023</v>
      </c>
      <c r="C32" s="73" t="s">
        <v>180</v>
      </c>
      <c r="D32" s="73" t="s">
        <v>69</v>
      </c>
      <c r="E32" s="73" t="s">
        <v>66</v>
      </c>
      <c r="F32" s="74">
        <v>584</v>
      </c>
      <c r="G32" s="63">
        <v>30</v>
      </c>
      <c r="H32" s="72">
        <f t="shared" si="7"/>
        <v>584</v>
      </c>
      <c r="I32" s="63"/>
      <c r="J32" s="63"/>
      <c r="K32" s="75">
        <f t="shared" si="10"/>
        <v>584</v>
      </c>
      <c r="L32" s="72">
        <f t="shared" si="11"/>
        <v>55.187999999999995</v>
      </c>
      <c r="M32" s="72">
        <f t="shared" si="12"/>
        <v>70.956000000000003</v>
      </c>
      <c r="N32" s="63">
        <v>71</v>
      </c>
      <c r="O32" s="202">
        <f>35.21+35.21</f>
        <v>70.42</v>
      </c>
      <c r="P32" s="102"/>
      <c r="Q32" s="102">
        <f>66.41+0.34</f>
        <v>66.75</v>
      </c>
      <c r="R32" s="72">
        <f t="shared" si="8"/>
        <v>192.358</v>
      </c>
      <c r="S32" s="202">
        <f>1752/6</f>
        <v>292</v>
      </c>
      <c r="T32" s="141">
        <f t="shared" si="9"/>
        <v>99.641999999999996</v>
      </c>
      <c r="U32" s="152">
        <f t="shared" si="13"/>
        <v>391.642</v>
      </c>
      <c r="V32" s="123" t="s">
        <v>222</v>
      </c>
      <c r="W32" s="126" t="s">
        <v>209</v>
      </c>
      <c r="X32">
        <v>1600022</v>
      </c>
    </row>
    <row r="33" spans="1:24" ht="31.2" customHeight="1" x14ac:dyDescent="0.3">
      <c r="A33" s="71" t="s">
        <v>134</v>
      </c>
      <c r="B33" s="71">
        <v>2023</v>
      </c>
      <c r="C33" s="73" t="s">
        <v>89</v>
      </c>
      <c r="D33" s="73" t="s">
        <v>88</v>
      </c>
      <c r="E33" s="73" t="s">
        <v>90</v>
      </c>
      <c r="F33" s="74">
        <v>527</v>
      </c>
      <c r="G33" s="63">
        <v>30</v>
      </c>
      <c r="H33" s="72">
        <f t="shared" si="7"/>
        <v>527</v>
      </c>
      <c r="I33" s="63"/>
      <c r="J33" s="63"/>
      <c r="K33" s="75">
        <f t="shared" si="10"/>
        <v>527</v>
      </c>
      <c r="L33" s="72">
        <f t="shared" si="11"/>
        <v>49.80149999999999</v>
      </c>
      <c r="M33" s="72">
        <f t="shared" si="12"/>
        <v>64.030500000000004</v>
      </c>
      <c r="N33" s="63">
        <v>71</v>
      </c>
      <c r="O33" s="202"/>
      <c r="P33" s="102"/>
      <c r="Q33" s="102"/>
      <c r="R33" s="72">
        <f t="shared" si="8"/>
        <v>49.80149999999999</v>
      </c>
      <c r="S33" s="200">
        <f>1581/7</f>
        <v>225.85714285714286</v>
      </c>
      <c r="T33" s="141">
        <f t="shared" si="9"/>
        <v>251.34135714285716</v>
      </c>
      <c r="U33" s="152">
        <f t="shared" si="13"/>
        <v>477.19850000000002</v>
      </c>
      <c r="V33" s="123" t="s">
        <v>218</v>
      </c>
      <c r="W33" s="126" t="s">
        <v>205</v>
      </c>
      <c r="X33">
        <v>1410036</v>
      </c>
    </row>
    <row r="34" spans="1:24" ht="31.2" customHeight="1" x14ac:dyDescent="0.3">
      <c r="A34" s="71" t="s">
        <v>134</v>
      </c>
      <c r="B34" s="71">
        <v>2023</v>
      </c>
      <c r="C34" s="73" t="s">
        <v>181</v>
      </c>
      <c r="D34" s="73" t="s">
        <v>95</v>
      </c>
      <c r="E34" s="73" t="s">
        <v>87</v>
      </c>
      <c r="F34" s="74">
        <v>500</v>
      </c>
      <c r="G34" s="63">
        <v>30</v>
      </c>
      <c r="H34" s="72">
        <f t="shared" si="7"/>
        <v>500</v>
      </c>
      <c r="I34" s="63"/>
      <c r="J34" s="63"/>
      <c r="K34" s="75">
        <f t="shared" si="10"/>
        <v>500</v>
      </c>
      <c r="L34" s="72">
        <f t="shared" si="11"/>
        <v>47.249999999999993</v>
      </c>
      <c r="M34" s="72">
        <f t="shared" si="12"/>
        <v>60.75</v>
      </c>
      <c r="N34" s="63">
        <v>71</v>
      </c>
      <c r="O34" s="202">
        <v>29.04</v>
      </c>
      <c r="P34" s="102"/>
      <c r="Q34" s="102"/>
      <c r="R34" s="72">
        <f t="shared" si="8"/>
        <v>76.289999999999992</v>
      </c>
      <c r="S34" s="202">
        <v>203.9</v>
      </c>
      <c r="T34" s="141">
        <f t="shared" si="9"/>
        <v>219.81000000000003</v>
      </c>
      <c r="U34" s="152">
        <f t="shared" si="13"/>
        <v>423.71000000000004</v>
      </c>
      <c r="V34" s="123" t="s">
        <v>216</v>
      </c>
      <c r="W34" s="126" t="s">
        <v>217</v>
      </c>
      <c r="X34">
        <v>1700427</v>
      </c>
    </row>
    <row r="35" spans="1:24" ht="31.2" customHeight="1" x14ac:dyDescent="0.3">
      <c r="A35" s="71" t="s">
        <v>134</v>
      </c>
      <c r="B35" s="71">
        <v>2023</v>
      </c>
      <c r="C35" s="73" t="s">
        <v>182</v>
      </c>
      <c r="D35" s="73" t="s">
        <v>65</v>
      </c>
      <c r="E35" s="73" t="s">
        <v>66</v>
      </c>
      <c r="F35" s="76">
        <v>614</v>
      </c>
      <c r="G35" s="63">
        <v>30</v>
      </c>
      <c r="H35" s="72">
        <f t="shared" si="7"/>
        <v>614</v>
      </c>
      <c r="I35" s="77"/>
      <c r="J35" s="77"/>
      <c r="K35" s="75">
        <f t="shared" si="10"/>
        <v>614</v>
      </c>
      <c r="L35" s="72">
        <f t="shared" si="11"/>
        <v>58.022999999999989</v>
      </c>
      <c r="M35" s="72">
        <f t="shared" si="12"/>
        <v>74.600999999999999</v>
      </c>
      <c r="N35" s="77">
        <v>71</v>
      </c>
      <c r="O35" s="77"/>
      <c r="P35" s="77"/>
      <c r="Q35" s="77"/>
      <c r="R35" s="78">
        <f t="shared" si="8"/>
        <v>58.022999999999989</v>
      </c>
      <c r="S35" s="201">
        <f>1698/10</f>
        <v>169.8</v>
      </c>
      <c r="T35" s="141">
        <f t="shared" si="9"/>
        <v>386.17699999999996</v>
      </c>
      <c r="U35" s="152">
        <f t="shared" si="13"/>
        <v>555.97699999999998</v>
      </c>
      <c r="V35" s="123" t="s">
        <v>223</v>
      </c>
      <c r="W35" s="126" t="s">
        <v>224</v>
      </c>
      <c r="X35">
        <v>1700027</v>
      </c>
    </row>
    <row r="36" spans="1:24" x14ac:dyDescent="0.3">
      <c r="A36" s="327" t="s">
        <v>185</v>
      </c>
      <c r="B36" s="328"/>
      <c r="C36" s="328"/>
      <c r="D36" s="328"/>
      <c r="E36" s="329"/>
      <c r="F36" s="151">
        <f>SUM(F29:F35)</f>
        <v>4052</v>
      </c>
      <c r="G36" s="151">
        <f t="shared" ref="G36:S36" si="14">SUM(G29:G35)</f>
        <v>210</v>
      </c>
      <c r="H36" s="151">
        <f t="shared" si="14"/>
        <v>4052</v>
      </c>
      <c r="I36" s="151">
        <f t="shared" si="14"/>
        <v>0</v>
      </c>
      <c r="J36" s="151">
        <f t="shared" si="14"/>
        <v>0</v>
      </c>
      <c r="K36" s="151">
        <f t="shared" si="14"/>
        <v>4052</v>
      </c>
      <c r="L36" s="151">
        <f t="shared" si="14"/>
        <v>382.91399999999993</v>
      </c>
      <c r="M36" s="151">
        <f t="shared" si="14"/>
        <v>492.31800000000004</v>
      </c>
      <c r="N36" s="151"/>
      <c r="O36" s="151">
        <f t="shared" si="14"/>
        <v>189.30999999999997</v>
      </c>
      <c r="P36" s="151">
        <f t="shared" si="14"/>
        <v>0</v>
      </c>
      <c r="Q36" s="151">
        <f t="shared" si="14"/>
        <v>66.75</v>
      </c>
      <c r="R36" s="151">
        <f t="shared" si="14"/>
        <v>638.97399999999993</v>
      </c>
      <c r="S36" s="151">
        <f t="shared" si="14"/>
        <v>1331.8904761904762</v>
      </c>
      <c r="T36" s="156">
        <f>SUM(T29:T35)</f>
        <v>2081.1355238095239</v>
      </c>
      <c r="U36" s="79"/>
    </row>
    <row r="39" spans="1:24" x14ac:dyDescent="0.3">
      <c r="C39">
        <f>225.86*4</f>
        <v>903.44</v>
      </c>
      <c r="E39" s="330" t="s">
        <v>28</v>
      </c>
      <c r="F39" s="330"/>
      <c r="G39" s="330"/>
      <c r="H39" s="84"/>
      <c r="I39" s="85"/>
      <c r="J39" s="85"/>
      <c r="K39" s="86"/>
      <c r="L39" s="330" t="s">
        <v>187</v>
      </c>
      <c r="M39" s="330"/>
      <c r="N39" s="330"/>
      <c r="O39" s="330"/>
      <c r="P39" s="330"/>
      <c r="Q39" s="330"/>
    </row>
    <row r="40" spans="1:24" x14ac:dyDescent="0.3">
      <c r="E40" s="196"/>
      <c r="F40" s="196"/>
      <c r="G40" s="196"/>
      <c r="H40" s="84"/>
      <c r="I40" s="85"/>
      <c r="J40" s="85"/>
      <c r="K40" s="86"/>
      <c r="L40" s="196"/>
      <c r="M40" s="196"/>
      <c r="N40" s="196"/>
      <c r="O40" s="196"/>
      <c r="P40" s="196"/>
      <c r="Q40" s="196"/>
    </row>
    <row r="41" spans="1:24" x14ac:dyDescent="0.3">
      <c r="E41" s="145"/>
      <c r="F41" s="146"/>
      <c r="G41" s="145"/>
      <c r="H41" s="146"/>
      <c r="I41" s="85"/>
      <c r="J41" s="85"/>
      <c r="K41" s="88"/>
      <c r="L41" s="88"/>
      <c r="M41" s="88"/>
      <c r="N41" s="88"/>
      <c r="O41" s="88"/>
      <c r="P41" s="89"/>
      <c r="Q41" s="89"/>
    </row>
    <row r="42" spans="1:24" x14ac:dyDescent="0.3">
      <c r="E42" s="317" t="s">
        <v>188</v>
      </c>
      <c r="F42" s="317"/>
      <c r="G42" s="317"/>
      <c r="H42" s="317"/>
      <c r="I42" s="85"/>
      <c r="J42" s="85"/>
      <c r="K42" s="88"/>
      <c r="L42" s="331" t="s">
        <v>189</v>
      </c>
      <c r="M42" s="331"/>
      <c r="N42" s="331"/>
      <c r="O42" s="331"/>
      <c r="P42" s="331"/>
      <c r="Q42" s="331"/>
    </row>
    <row r="43" spans="1:24" x14ac:dyDescent="0.3">
      <c r="E43" s="316" t="s">
        <v>238</v>
      </c>
      <c r="F43" s="316"/>
      <c r="G43" s="316"/>
      <c r="H43" s="316"/>
      <c r="L43" s="316" t="s">
        <v>237</v>
      </c>
      <c r="M43" s="316"/>
      <c r="N43" s="316"/>
      <c r="O43" s="316"/>
      <c r="P43" s="316"/>
      <c r="Q43" s="316"/>
    </row>
    <row r="50" spans="1:24" ht="15.6" customHeight="1" thickBot="1" x14ac:dyDescent="0.35"/>
    <row r="51" spans="1:24" ht="15.6" customHeight="1" x14ac:dyDescent="0.3">
      <c r="A51" s="294"/>
      <c r="B51" s="295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6"/>
    </row>
    <row r="52" spans="1:24" ht="15.6" customHeight="1" x14ac:dyDescent="0.3">
      <c r="A52" s="307"/>
      <c r="B52" s="308"/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9"/>
    </row>
    <row r="53" spans="1:24" ht="15.6" customHeight="1" x14ac:dyDescent="0.3">
      <c r="A53" s="307"/>
      <c r="B53" s="308"/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09"/>
    </row>
    <row r="54" spans="1:24" ht="15.6" customHeight="1" x14ac:dyDescent="0.3">
      <c r="A54" s="307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9"/>
    </row>
    <row r="55" spans="1:24" ht="15.6" customHeight="1" thickBot="1" x14ac:dyDescent="0.35">
      <c r="A55" s="307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9"/>
    </row>
    <row r="56" spans="1:24" ht="16.2" customHeight="1" thickBot="1" x14ac:dyDescent="0.35">
      <c r="A56" s="324" t="s">
        <v>289</v>
      </c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6"/>
    </row>
    <row r="57" spans="1:24" ht="38.4" customHeight="1" x14ac:dyDescent="0.3">
      <c r="A57" s="104" t="s">
        <v>143</v>
      </c>
      <c r="B57" s="105" t="s">
        <v>144</v>
      </c>
      <c r="C57" s="105" t="s">
        <v>145</v>
      </c>
      <c r="D57" s="105" t="s">
        <v>146</v>
      </c>
      <c r="E57" s="105" t="s">
        <v>147</v>
      </c>
      <c r="F57" s="105" t="s">
        <v>148</v>
      </c>
      <c r="G57" s="105" t="s">
        <v>151</v>
      </c>
      <c r="H57" s="105" t="s">
        <v>174</v>
      </c>
      <c r="I57" s="105" t="s">
        <v>149</v>
      </c>
      <c r="J57" s="105" t="s">
        <v>150</v>
      </c>
      <c r="K57" s="105" t="s">
        <v>152</v>
      </c>
      <c r="L57" s="105" t="s">
        <v>186</v>
      </c>
      <c r="M57" s="105" t="s">
        <v>154</v>
      </c>
      <c r="N57" s="105" t="s">
        <v>155</v>
      </c>
      <c r="O57" s="105" t="s">
        <v>156</v>
      </c>
      <c r="P57" s="105" t="s">
        <v>157</v>
      </c>
      <c r="Q57" s="105" t="s">
        <v>158</v>
      </c>
      <c r="R57" s="105" t="s">
        <v>159</v>
      </c>
      <c r="S57" s="105" t="s">
        <v>160</v>
      </c>
      <c r="T57" s="105" t="s">
        <v>13</v>
      </c>
      <c r="U57" s="106" t="s">
        <v>161</v>
      </c>
      <c r="V57" s="129" t="s">
        <v>220</v>
      </c>
      <c r="W57" s="130" t="s">
        <v>229</v>
      </c>
      <c r="X57" s="127" t="s">
        <v>219</v>
      </c>
    </row>
    <row r="58" spans="1:24" ht="31.2" customHeight="1" x14ac:dyDescent="0.3">
      <c r="A58" s="71" t="s">
        <v>134</v>
      </c>
      <c r="B58" s="71">
        <v>2023</v>
      </c>
      <c r="C58" s="73">
        <v>2200446587</v>
      </c>
      <c r="D58" s="73" t="s">
        <v>190</v>
      </c>
      <c r="E58" s="73" t="s">
        <v>308</v>
      </c>
      <c r="F58" s="91">
        <v>527</v>
      </c>
      <c r="G58" s="63">
        <v>30</v>
      </c>
      <c r="H58" s="72">
        <f>F58</f>
        <v>527</v>
      </c>
      <c r="I58" s="92">
        <f>H58/12</f>
        <v>43.916666666666664</v>
      </c>
      <c r="J58" s="72">
        <f>450/12</f>
        <v>37.5</v>
      </c>
      <c r="K58" s="119">
        <f>ROUND(H58+I58+J58,2)</f>
        <v>608.41999999999996</v>
      </c>
      <c r="L58" s="92">
        <f>H58*11.45%</f>
        <v>60.341499999999996</v>
      </c>
      <c r="M58" s="92">
        <f>F58*11.65%</f>
        <v>61.395500000000006</v>
      </c>
      <c r="N58" s="63">
        <v>71</v>
      </c>
      <c r="O58" s="63"/>
      <c r="P58" s="63"/>
      <c r="Q58" s="63"/>
      <c r="R58" s="119">
        <f>L58+O58+P58+Q58</f>
        <v>60.341499999999996</v>
      </c>
      <c r="S58" s="63"/>
      <c r="T58" s="140">
        <f>K58-R58-S58</f>
        <v>548.07849999999996</v>
      </c>
      <c r="U58" s="63"/>
      <c r="V58" s="123" t="s">
        <v>230</v>
      </c>
      <c r="W58" s="126" t="s">
        <v>209</v>
      </c>
      <c r="X58">
        <v>1600022</v>
      </c>
    </row>
    <row r="59" spans="1:24" ht="31.2" customHeight="1" x14ac:dyDescent="0.3">
      <c r="A59" s="71" t="s">
        <v>134</v>
      </c>
      <c r="B59" s="71">
        <v>2023</v>
      </c>
      <c r="C59" s="142" t="s">
        <v>235</v>
      </c>
      <c r="D59" s="73" t="s">
        <v>195</v>
      </c>
      <c r="E59" s="73" t="s">
        <v>196</v>
      </c>
      <c r="F59" s="91">
        <v>1212</v>
      </c>
      <c r="G59" s="63">
        <v>30</v>
      </c>
      <c r="H59" s="72">
        <f>F59</f>
        <v>1212</v>
      </c>
      <c r="I59" s="92">
        <f>H59/12</f>
        <v>101</v>
      </c>
      <c r="J59" s="72">
        <f>450/12</f>
        <v>37.5</v>
      </c>
      <c r="K59" s="119">
        <f>ROUND(H59+I59+J59,2)</f>
        <v>1350.5</v>
      </c>
      <c r="L59" s="92">
        <f>H59*11.45%</f>
        <v>138.774</v>
      </c>
      <c r="M59" s="92">
        <f>F59*11.65%</f>
        <v>141.19800000000001</v>
      </c>
      <c r="N59" s="63">
        <v>71</v>
      </c>
      <c r="O59" s="63"/>
      <c r="P59" s="63">
        <v>127.91</v>
      </c>
      <c r="Q59" s="63"/>
      <c r="R59" s="119">
        <f>L59+O59+P59+Q59</f>
        <v>266.68399999999997</v>
      </c>
      <c r="S59" s="63">
        <v>18.75</v>
      </c>
      <c r="T59" s="140">
        <f>K59-R59-S59</f>
        <v>1065.066</v>
      </c>
      <c r="U59" s="63"/>
      <c r="V59" s="123" t="s">
        <v>214</v>
      </c>
      <c r="W59" s="126" t="s">
        <v>213</v>
      </c>
      <c r="X59">
        <v>2600021</v>
      </c>
    </row>
    <row r="60" spans="1:24" ht="31.2" customHeight="1" x14ac:dyDescent="0.3">
      <c r="A60" s="71" t="s">
        <v>134</v>
      </c>
      <c r="B60" s="71">
        <v>2023</v>
      </c>
      <c r="C60" s="142" t="s">
        <v>290</v>
      </c>
      <c r="D60" s="73" t="s">
        <v>291</v>
      </c>
      <c r="E60" s="73" t="s">
        <v>292</v>
      </c>
      <c r="F60" s="91">
        <v>708</v>
      </c>
      <c r="G60" s="63">
        <v>16</v>
      </c>
      <c r="H60" s="72">
        <f>ROUND(F60/30*G60,2)</f>
        <v>377.6</v>
      </c>
      <c r="I60" s="122"/>
      <c r="J60" s="122"/>
      <c r="K60" s="119">
        <f>ROUND(H60+I60+J60,2)</f>
        <v>377.6</v>
      </c>
      <c r="L60" s="92">
        <f>H60*11.45%</f>
        <v>43.235199999999999</v>
      </c>
      <c r="M60" s="92">
        <f>F60*11.65%</f>
        <v>82.481999999999999</v>
      </c>
      <c r="N60" s="63">
        <v>71</v>
      </c>
      <c r="O60" s="63"/>
      <c r="P60" s="63"/>
      <c r="Q60" s="63"/>
      <c r="R60" s="119">
        <f>L60+O60+P60+Q60</f>
        <v>43.235199999999999</v>
      </c>
      <c r="S60" s="63"/>
      <c r="T60" s="140">
        <f>K60-R60-S60</f>
        <v>334.3648</v>
      </c>
      <c r="U60" s="63"/>
      <c r="V60" s="123" t="s">
        <v>293</v>
      </c>
      <c r="W60" s="126" t="s">
        <v>209</v>
      </c>
      <c r="X60">
        <v>1600022</v>
      </c>
    </row>
    <row r="61" spans="1:24" ht="31.2" customHeight="1" x14ac:dyDescent="0.3">
      <c r="A61" s="71" t="s">
        <v>134</v>
      </c>
      <c r="B61" s="71">
        <v>2023</v>
      </c>
      <c r="C61" s="142" t="s">
        <v>295</v>
      </c>
      <c r="D61" s="73" t="s">
        <v>296</v>
      </c>
      <c r="E61" s="73" t="s">
        <v>84</v>
      </c>
      <c r="F61" s="91">
        <v>500</v>
      </c>
      <c r="G61" s="63">
        <v>14</v>
      </c>
      <c r="H61" s="72">
        <f>ROUND(F61/30*G61,2)</f>
        <v>233.33</v>
      </c>
      <c r="I61" s="122"/>
      <c r="J61" s="122"/>
      <c r="K61" s="119">
        <f>ROUND(H61+I61+J61,2)</f>
        <v>233.33</v>
      </c>
      <c r="L61" s="92">
        <f>H61*11.45%</f>
        <v>26.716284999999999</v>
      </c>
      <c r="M61" s="92">
        <f>F61*11.65%</f>
        <v>58.25</v>
      </c>
      <c r="N61" s="63">
        <v>71</v>
      </c>
      <c r="O61" s="63"/>
      <c r="P61" s="63"/>
      <c r="Q61" s="63"/>
      <c r="R61" s="119">
        <f>L61+O61+P61+Q61</f>
        <v>26.716284999999999</v>
      </c>
      <c r="S61" s="63"/>
      <c r="T61" s="140">
        <f>K61-R61-S61</f>
        <v>206.61371500000001</v>
      </c>
      <c r="U61" s="63"/>
      <c r="V61" s="123" t="s">
        <v>294</v>
      </c>
      <c r="W61" s="126" t="s">
        <v>205</v>
      </c>
      <c r="X61">
        <v>1410036</v>
      </c>
    </row>
    <row r="62" spans="1:24" ht="31.2" customHeight="1" x14ac:dyDescent="0.3">
      <c r="A62" s="332" t="s">
        <v>185</v>
      </c>
      <c r="B62" s="333"/>
      <c r="C62" s="333"/>
      <c r="D62" s="333"/>
      <c r="E62" s="334"/>
      <c r="F62" s="63"/>
      <c r="G62" s="63"/>
      <c r="H62" s="136">
        <f>SUM(H58:H61)</f>
        <v>2349.9299999999998</v>
      </c>
      <c r="I62" s="136">
        <f>SUM(I58:I59)</f>
        <v>144.91666666666666</v>
      </c>
      <c r="J62" s="136">
        <f>SUM(J58:J59)</f>
        <v>75</v>
      </c>
      <c r="K62" s="136">
        <f>SUM(K58:K61)</f>
        <v>2569.85</v>
      </c>
      <c r="L62" s="136">
        <f>SUM(L58:L61)</f>
        <v>269.06698499999999</v>
      </c>
      <c r="M62" s="136">
        <f>SUM(M58:M61)</f>
        <v>343.32550000000003</v>
      </c>
      <c r="N62" s="136">
        <f>SUM(N58:N61)</f>
        <v>284</v>
      </c>
      <c r="O62" s="136">
        <f t="shared" ref="O62:Q62" si="15">SUM(O58:O59)</f>
        <v>0</v>
      </c>
      <c r="P62" s="136">
        <f t="shared" si="15"/>
        <v>127.91</v>
      </c>
      <c r="Q62" s="136">
        <f t="shared" si="15"/>
        <v>0</v>
      </c>
      <c r="R62" s="136">
        <f>SUM(R58:R61)</f>
        <v>396.97698500000001</v>
      </c>
      <c r="S62" s="136">
        <f>SUM(S58:S59)</f>
        <v>18.75</v>
      </c>
      <c r="T62" s="157">
        <f>SUM(T58:T61)</f>
        <v>2154.1230150000001</v>
      </c>
      <c r="U62" s="137"/>
    </row>
    <row r="63" spans="1:24" x14ac:dyDescent="0.3">
      <c r="E63" s="330" t="s">
        <v>28</v>
      </c>
      <c r="F63" s="330"/>
      <c r="G63" s="330"/>
      <c r="H63" s="84"/>
      <c r="I63" s="85"/>
      <c r="J63" s="85"/>
      <c r="K63" s="86"/>
      <c r="L63" s="330" t="s">
        <v>187</v>
      </c>
      <c r="M63" s="330"/>
      <c r="N63" s="330"/>
      <c r="O63" s="330"/>
      <c r="P63" s="330"/>
      <c r="Q63" s="330"/>
    </row>
    <row r="64" spans="1:24" x14ac:dyDescent="0.3">
      <c r="E64" s="196"/>
      <c r="F64" s="196"/>
      <c r="G64" s="196"/>
      <c r="H64" s="84"/>
      <c r="I64" s="85"/>
      <c r="J64" s="85"/>
      <c r="K64" s="86"/>
      <c r="L64" s="196"/>
      <c r="M64" s="196"/>
      <c r="N64" s="196"/>
      <c r="O64" s="196"/>
      <c r="P64" s="196"/>
      <c r="Q64" s="196"/>
      <c r="X64" s="166">
        <f>T62+T36</f>
        <v>4235.258538809524</v>
      </c>
    </row>
    <row r="65" spans="5:21" x14ac:dyDescent="0.3">
      <c r="E65" s="145"/>
      <c r="F65" s="146"/>
      <c r="G65" s="145"/>
      <c r="H65" s="146"/>
      <c r="I65" s="85"/>
      <c r="J65" s="85"/>
      <c r="K65" s="88"/>
      <c r="L65" s="88"/>
      <c r="M65" s="88"/>
      <c r="N65" s="88"/>
      <c r="O65" s="88"/>
      <c r="P65" s="89"/>
      <c r="Q65" s="89"/>
      <c r="U65" s="257">
        <f>T36+T62</f>
        <v>4235.258538809524</v>
      </c>
    </row>
    <row r="66" spans="5:21" x14ac:dyDescent="0.3">
      <c r="E66" s="317" t="s">
        <v>188</v>
      </c>
      <c r="F66" s="317"/>
      <c r="G66" s="317"/>
      <c r="H66" s="317"/>
      <c r="I66" s="85"/>
      <c r="J66" s="85"/>
      <c r="K66" s="88"/>
      <c r="L66" s="331" t="s">
        <v>189</v>
      </c>
      <c r="M66" s="331"/>
      <c r="N66" s="331"/>
      <c r="O66" s="331"/>
      <c r="P66" s="331"/>
      <c r="Q66" s="331"/>
    </row>
    <row r="67" spans="5:21" x14ac:dyDescent="0.3">
      <c r="E67" s="316" t="s">
        <v>238</v>
      </c>
      <c r="F67" s="316"/>
      <c r="G67" s="316"/>
      <c r="H67" s="316"/>
      <c r="L67" s="316" t="s">
        <v>237</v>
      </c>
      <c r="M67" s="316"/>
      <c r="N67" s="316"/>
      <c r="O67" s="316"/>
      <c r="P67" s="316"/>
      <c r="Q67" s="316"/>
    </row>
  </sheetData>
  <mergeCells count="27">
    <mergeCell ref="E39:G39"/>
    <mergeCell ref="L39:Q39"/>
    <mergeCell ref="A1:U5"/>
    <mergeCell ref="A6:U6"/>
    <mergeCell ref="A14:E14"/>
    <mergeCell ref="E16:G16"/>
    <mergeCell ref="L16:Q16"/>
    <mergeCell ref="E19:H19"/>
    <mergeCell ref="L19:Q19"/>
    <mergeCell ref="E20:H20"/>
    <mergeCell ref="L20:Q20"/>
    <mergeCell ref="A22:U26"/>
    <mergeCell ref="A27:U27"/>
    <mergeCell ref="A36:E36"/>
    <mergeCell ref="E67:H67"/>
    <mergeCell ref="L67:Q67"/>
    <mergeCell ref="E42:H42"/>
    <mergeCell ref="L42:Q42"/>
    <mergeCell ref="E43:H43"/>
    <mergeCell ref="L43:Q43"/>
    <mergeCell ref="A51:U55"/>
    <mergeCell ref="A56:U56"/>
    <mergeCell ref="A62:E62"/>
    <mergeCell ref="E63:G63"/>
    <mergeCell ref="L63:Q63"/>
    <mergeCell ref="E66:H66"/>
    <mergeCell ref="L66:Q66"/>
  </mergeCells>
  <phoneticPr fontId="29" type="noConversion"/>
  <pageMargins left="0.7" right="0.7" top="0.75" bottom="0.75" header="0.3" footer="0.3"/>
  <pageSetup paperSize="9" scale="55" orientation="landscape" horizontalDpi="0" verticalDpi="0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5"/>
  <sheetViews>
    <sheetView topLeftCell="A39" workbookViewId="0">
      <selection activeCell="C12" sqref="C12"/>
    </sheetView>
  </sheetViews>
  <sheetFormatPr baseColWidth="10" defaultRowHeight="14.4" x14ac:dyDescent="0.3"/>
  <cols>
    <col min="1" max="1" width="37.33203125" customWidth="1"/>
    <col min="2" max="2" width="27.5546875" customWidth="1"/>
    <col min="3" max="3" width="15.6640625" customWidth="1"/>
    <col min="4" max="4" width="21.6640625" customWidth="1"/>
  </cols>
  <sheetData>
    <row r="1" spans="1:4" ht="25.2" customHeight="1" x14ac:dyDescent="0.3">
      <c r="A1" s="294"/>
      <c r="B1" s="295"/>
      <c r="C1" s="295"/>
      <c r="D1" s="296"/>
    </row>
    <row r="2" spans="1:4" x14ac:dyDescent="0.3">
      <c r="A2" s="307"/>
      <c r="B2" s="308"/>
      <c r="C2" s="308"/>
      <c r="D2" s="309"/>
    </row>
    <row r="3" spans="1:4" ht="33" customHeight="1" thickBot="1" x14ac:dyDescent="0.35">
      <c r="A3" s="307"/>
      <c r="B3" s="308"/>
      <c r="C3" s="308"/>
      <c r="D3" s="309"/>
    </row>
    <row r="4" spans="1:4" ht="25.8" thickBot="1" x14ac:dyDescent="0.35">
      <c r="A4" s="350" t="s">
        <v>0</v>
      </c>
      <c r="B4" s="351"/>
      <c r="C4" s="351"/>
      <c r="D4" s="352"/>
    </row>
    <row r="5" spans="1:4" x14ac:dyDescent="0.3">
      <c r="A5" s="11" t="s">
        <v>1</v>
      </c>
      <c r="B5" s="3" t="str">
        <f>'ROL DE AGOSTO'!D8</f>
        <v>LUZ NARCISA GREFA YUMBO</v>
      </c>
      <c r="C5" s="3"/>
      <c r="D5" s="12"/>
    </row>
    <row r="6" spans="1:4" x14ac:dyDescent="0.3">
      <c r="A6" s="11" t="s">
        <v>2</v>
      </c>
      <c r="B6" s="55">
        <f>'ROL DE AGOSTO'!C8</f>
        <v>1500721202</v>
      </c>
      <c r="C6" s="4"/>
      <c r="D6" s="13"/>
    </row>
    <row r="7" spans="1:4" x14ac:dyDescent="0.3">
      <c r="A7" s="11" t="s">
        <v>3</v>
      </c>
      <c r="B7" s="3" t="str">
        <f>'ROL DE AGOSTO'!E8</f>
        <v>PRESIDENTA</v>
      </c>
      <c r="C7" s="4"/>
      <c r="D7" s="14"/>
    </row>
    <row r="8" spans="1:4" x14ac:dyDescent="0.3">
      <c r="A8" s="11" t="s">
        <v>26</v>
      </c>
      <c r="B8" s="3" t="str">
        <f>'ROL DE AGOSTO'!A8</f>
        <v>AGOSTO</v>
      </c>
      <c r="C8" s="4"/>
      <c r="D8" s="15"/>
    </row>
    <row r="9" spans="1:4" x14ac:dyDescent="0.3">
      <c r="A9" s="11" t="s">
        <v>99</v>
      </c>
      <c r="B9" s="55">
        <f>'ROL DE AGOSTO'!B8</f>
        <v>2023</v>
      </c>
      <c r="C9" s="4"/>
      <c r="D9" s="15"/>
    </row>
    <row r="10" spans="1:4" x14ac:dyDescent="0.3">
      <c r="A10" s="203" t="s">
        <v>94</v>
      </c>
      <c r="B10" s="204"/>
      <c r="C10" s="205" t="s">
        <v>5</v>
      </c>
      <c r="D10" s="206" t="s">
        <v>6</v>
      </c>
    </row>
    <row r="11" spans="1:4" x14ac:dyDescent="0.3">
      <c r="A11" s="18"/>
      <c r="B11" s="6"/>
      <c r="C11" s="7"/>
      <c r="D11" s="19"/>
    </row>
    <row r="12" spans="1:4" ht="13.2" customHeight="1" x14ac:dyDescent="0.3">
      <c r="A12" s="26" t="s">
        <v>16</v>
      </c>
      <c r="B12" s="27"/>
      <c r="C12" s="28">
        <f>'ROL DE AGOSTO'!F8</f>
        <v>1340</v>
      </c>
      <c r="D12" s="29"/>
    </row>
    <row r="13" spans="1:4" ht="13.2" customHeight="1" x14ac:dyDescent="0.3">
      <c r="A13" s="26" t="s">
        <v>105</v>
      </c>
      <c r="B13" s="27"/>
      <c r="C13" s="28"/>
      <c r="D13" s="29"/>
    </row>
    <row r="14" spans="1:4" ht="13.2" customHeight="1" x14ac:dyDescent="0.3">
      <c r="A14" s="26" t="s">
        <v>8</v>
      </c>
      <c r="B14" s="27"/>
      <c r="C14" s="28"/>
      <c r="D14" s="29"/>
    </row>
    <row r="15" spans="1:4" ht="13.2" customHeight="1" x14ac:dyDescent="0.3">
      <c r="A15" s="26" t="s">
        <v>9</v>
      </c>
      <c r="B15" s="27"/>
      <c r="C15" s="28"/>
      <c r="D15" s="29"/>
    </row>
    <row r="16" spans="1:4" ht="13.2" customHeight="1" x14ac:dyDescent="0.3">
      <c r="A16" s="26"/>
      <c r="B16" s="27" t="s">
        <v>10</v>
      </c>
      <c r="C16" s="28"/>
      <c r="D16" s="29">
        <f>'ROL DE AGOSTO'!L8</f>
        <v>153.43</v>
      </c>
    </row>
    <row r="17" spans="1:8" ht="13.2" customHeight="1" x14ac:dyDescent="0.3">
      <c r="A17" s="26"/>
      <c r="B17" s="27" t="s">
        <v>11</v>
      </c>
      <c r="C17" s="28"/>
      <c r="D17" s="29">
        <f>'ROL DE AGOSTO'!O8</f>
        <v>0</v>
      </c>
    </row>
    <row r="18" spans="1:8" ht="13.2" customHeight="1" x14ac:dyDescent="0.3">
      <c r="A18" s="26"/>
      <c r="B18" s="27" t="s">
        <v>55</v>
      </c>
      <c r="C18" s="28"/>
      <c r="D18" s="29">
        <f>'ROL DE AGOSTO'!S8</f>
        <v>382.85714285714283</v>
      </c>
      <c r="H18" t="s">
        <v>300</v>
      </c>
    </row>
    <row r="19" spans="1:8" ht="13.2" customHeight="1" x14ac:dyDescent="0.3">
      <c r="A19" s="26"/>
      <c r="B19" s="27" t="s">
        <v>18</v>
      </c>
      <c r="C19" s="28"/>
      <c r="D19" s="29">
        <f>'ROL DE AGOSTO'!P8</f>
        <v>0</v>
      </c>
    </row>
    <row r="20" spans="1:8" x14ac:dyDescent="0.3">
      <c r="A20" s="207"/>
      <c r="B20" s="208" t="s">
        <v>12</v>
      </c>
      <c r="C20" s="209">
        <f>SUM(C12:C19)</f>
        <v>1340</v>
      </c>
      <c r="D20" s="210">
        <f>SUM(D12:D19)</f>
        <v>536.28714285714284</v>
      </c>
    </row>
    <row r="21" spans="1:8" ht="28.2" x14ac:dyDescent="0.3">
      <c r="A21" s="21"/>
      <c r="B21" s="45"/>
      <c r="C21" s="211" t="s">
        <v>13</v>
      </c>
      <c r="D21" s="212">
        <f>+C20-D20</f>
        <v>803.71285714285716</v>
      </c>
    </row>
    <row r="22" spans="1:8" ht="15" thickBot="1" x14ac:dyDescent="0.35">
      <c r="A22" s="23"/>
      <c r="B22" s="4" t="s">
        <v>14</v>
      </c>
      <c r="C22" s="2"/>
      <c r="D22" s="24"/>
    </row>
    <row r="23" spans="1:8" x14ac:dyDescent="0.3">
      <c r="A23" s="213" t="s">
        <v>28</v>
      </c>
      <c r="B23" s="213" t="s">
        <v>93</v>
      </c>
      <c r="C23" s="348" t="s">
        <v>30</v>
      </c>
      <c r="D23" s="349"/>
    </row>
    <row r="24" spans="1:8" x14ac:dyDescent="0.3">
      <c r="A24" s="37"/>
      <c r="B24" s="34"/>
      <c r="C24" s="32"/>
      <c r="D24" s="25"/>
    </row>
    <row r="25" spans="1:8" x14ac:dyDescent="0.3">
      <c r="A25" s="37"/>
      <c r="B25" s="34"/>
      <c r="C25" s="32"/>
      <c r="D25" s="25"/>
    </row>
    <row r="26" spans="1:8" x14ac:dyDescent="0.3">
      <c r="A26" s="37"/>
      <c r="B26" s="34"/>
      <c r="C26" s="32"/>
      <c r="D26" s="25"/>
    </row>
    <row r="27" spans="1:8" x14ac:dyDescent="0.3">
      <c r="A27" s="37"/>
      <c r="B27" s="34"/>
      <c r="C27" s="32"/>
      <c r="D27" s="25"/>
    </row>
    <row r="28" spans="1:8" x14ac:dyDescent="0.3">
      <c r="A28" s="37"/>
      <c r="B28" s="34"/>
      <c r="C28" s="32"/>
      <c r="D28" s="25"/>
    </row>
    <row r="29" spans="1:8" x14ac:dyDescent="0.3">
      <c r="A29" s="38" t="s">
        <v>298</v>
      </c>
      <c r="B29" s="35" t="s">
        <v>297</v>
      </c>
      <c r="C29" s="290" t="str">
        <f>'ROL INDIVIDUAL'!B5</f>
        <v>LUZ NARCISA GREFA YUMBO</v>
      </c>
      <c r="D29" s="291"/>
    </row>
    <row r="30" spans="1:8" ht="15" thickBot="1" x14ac:dyDescent="0.35">
      <c r="A30" s="36" t="s">
        <v>246</v>
      </c>
      <c r="B30" s="33" t="s">
        <v>299</v>
      </c>
      <c r="C30" s="353">
        <f>B6</f>
        <v>1500721202</v>
      </c>
      <c r="D30" s="354"/>
    </row>
    <row r="31" spans="1:8" x14ac:dyDescent="0.3">
      <c r="A31" s="214"/>
      <c r="B31" s="58"/>
      <c r="C31" s="59"/>
      <c r="D31" s="215"/>
    </row>
    <row r="32" spans="1:8" ht="15" thickBot="1" x14ac:dyDescent="0.35">
      <c r="A32" s="214"/>
      <c r="B32" s="58"/>
      <c r="C32" s="59"/>
      <c r="D32" s="215"/>
    </row>
    <row r="33" spans="1:4" x14ac:dyDescent="0.3">
      <c r="A33" s="294"/>
      <c r="B33" s="295"/>
      <c r="C33" s="295"/>
      <c r="D33" s="296"/>
    </row>
    <row r="34" spans="1:4" x14ac:dyDescent="0.3">
      <c r="A34" s="307"/>
      <c r="B34" s="308"/>
      <c r="C34" s="308"/>
      <c r="D34" s="309"/>
    </row>
    <row r="35" spans="1:4" ht="45" customHeight="1" thickBot="1" x14ac:dyDescent="0.35">
      <c r="A35" s="307"/>
      <c r="B35" s="308"/>
      <c r="C35" s="308"/>
      <c r="D35" s="309"/>
    </row>
    <row r="36" spans="1:4" ht="25.8" thickBot="1" x14ac:dyDescent="0.35">
      <c r="A36" s="350" t="s">
        <v>0</v>
      </c>
      <c r="B36" s="351"/>
      <c r="C36" s="351"/>
      <c r="D36" s="352"/>
    </row>
    <row r="37" spans="1:4" x14ac:dyDescent="0.3">
      <c r="A37" s="11" t="s">
        <v>1</v>
      </c>
      <c r="B37" s="3" t="str">
        <f>'ROL DE AGOSTO'!D9</f>
        <v>DEISY EDITH GREFA VARGAS</v>
      </c>
      <c r="C37" s="3"/>
      <c r="D37" s="12"/>
    </row>
    <row r="38" spans="1:4" x14ac:dyDescent="0.3">
      <c r="A38" s="11" t="s">
        <v>2</v>
      </c>
      <c r="B38" s="10" t="str">
        <f>'ROL DE AGOSTO'!C9</f>
        <v>2200496376</v>
      </c>
      <c r="C38" s="4"/>
      <c r="D38" s="13"/>
    </row>
    <row r="39" spans="1:4" x14ac:dyDescent="0.3">
      <c r="A39" s="11" t="s">
        <v>3</v>
      </c>
      <c r="B39" s="3" t="str">
        <f>'ROL DE AGOSTO'!E9</f>
        <v>VICEPRESIDENTA</v>
      </c>
      <c r="C39" s="4"/>
      <c r="D39" s="14"/>
    </row>
    <row r="40" spans="1:4" x14ac:dyDescent="0.3">
      <c r="A40" s="11" t="s">
        <v>26</v>
      </c>
      <c r="B40" s="3" t="str">
        <f>'ROL DE AGOSTO'!A9</f>
        <v>AGOSTO</v>
      </c>
      <c r="C40" s="4"/>
      <c r="D40" s="15"/>
    </row>
    <row r="41" spans="1:4" x14ac:dyDescent="0.3">
      <c r="A41" s="11" t="s">
        <v>99</v>
      </c>
      <c r="B41" s="55">
        <f>'ROL DE AGOSTO'!B8</f>
        <v>2023</v>
      </c>
      <c r="C41" s="4"/>
      <c r="D41" s="15"/>
    </row>
    <row r="42" spans="1:4" x14ac:dyDescent="0.3">
      <c r="A42" s="203" t="s">
        <v>94</v>
      </c>
      <c r="B42" s="204"/>
      <c r="C42" s="205" t="s">
        <v>5</v>
      </c>
      <c r="D42" s="206" t="s">
        <v>6</v>
      </c>
    </row>
    <row r="43" spans="1:4" x14ac:dyDescent="0.3">
      <c r="A43" s="18"/>
      <c r="B43" s="6"/>
      <c r="C43" s="7"/>
      <c r="D43" s="19"/>
    </row>
    <row r="44" spans="1:4" x14ac:dyDescent="0.3">
      <c r="A44" s="26" t="s">
        <v>16</v>
      </c>
      <c r="B44" s="27"/>
      <c r="C44" s="28">
        <f>'ROL DE AGOSTO'!F9</f>
        <v>536</v>
      </c>
      <c r="D44" s="29"/>
    </row>
    <row r="45" spans="1:4" ht="17.399999999999999" customHeight="1" x14ac:dyDescent="0.3">
      <c r="A45" s="26" t="s">
        <v>105</v>
      </c>
      <c r="B45" s="27"/>
      <c r="C45" s="28"/>
      <c r="D45" s="29"/>
    </row>
    <row r="46" spans="1:4" x14ac:dyDescent="0.3">
      <c r="A46" s="26" t="s">
        <v>8</v>
      </c>
      <c r="B46" s="27"/>
      <c r="C46" s="28"/>
      <c r="D46" s="29"/>
    </row>
    <row r="47" spans="1:4" x14ac:dyDescent="0.3">
      <c r="A47" s="26" t="s">
        <v>9</v>
      </c>
      <c r="B47" s="27"/>
      <c r="C47" s="28"/>
      <c r="D47" s="29"/>
    </row>
    <row r="48" spans="1:4" ht="24" x14ac:dyDescent="0.3">
      <c r="A48" s="26"/>
      <c r="B48" s="27" t="s">
        <v>10</v>
      </c>
      <c r="C48" s="28"/>
      <c r="D48" s="29">
        <f>'ROL DE AGOSTO'!L9</f>
        <v>61.37</v>
      </c>
    </row>
    <row r="49" spans="1:4" ht="24" x14ac:dyDescent="0.3">
      <c r="A49" s="26"/>
      <c r="B49" s="27" t="s">
        <v>11</v>
      </c>
      <c r="C49" s="28"/>
      <c r="D49" s="29">
        <f>'ROL DE AGOSTO'!O9</f>
        <v>0</v>
      </c>
    </row>
    <row r="50" spans="1:4" x14ac:dyDescent="0.3">
      <c r="A50" s="26"/>
      <c r="B50" s="27" t="s">
        <v>55</v>
      </c>
      <c r="C50" s="28"/>
      <c r="D50" s="29">
        <f>'ROL DE AGOSTO'!S9</f>
        <v>0</v>
      </c>
    </row>
    <row r="51" spans="1:4" ht="24" x14ac:dyDescent="0.3">
      <c r="A51" s="26"/>
      <c r="B51" s="27" t="s">
        <v>18</v>
      </c>
      <c r="C51" s="28"/>
      <c r="D51" s="29">
        <f>'ROL DE AGOSTO'!P9</f>
        <v>105</v>
      </c>
    </row>
    <row r="52" spans="1:4" x14ac:dyDescent="0.3">
      <c r="A52" s="207"/>
      <c r="B52" s="208" t="s">
        <v>12</v>
      </c>
      <c r="C52" s="209">
        <f>SUM(C44:C51)</f>
        <v>536</v>
      </c>
      <c r="D52" s="210">
        <f>SUM(D44:D51)</f>
        <v>166.37</v>
      </c>
    </row>
    <row r="53" spans="1:4" ht="28.2" x14ac:dyDescent="0.3">
      <c r="A53" s="21"/>
      <c r="B53" s="45"/>
      <c r="C53" s="211" t="s">
        <v>13</v>
      </c>
      <c r="D53" s="212">
        <f>+C52-D52</f>
        <v>369.63</v>
      </c>
    </row>
    <row r="54" spans="1:4" ht="15" thickBot="1" x14ac:dyDescent="0.35">
      <c r="A54" s="23"/>
      <c r="B54" s="4" t="s">
        <v>14</v>
      </c>
      <c r="C54" s="2"/>
      <c r="D54" s="24"/>
    </row>
    <row r="55" spans="1:4" x14ac:dyDescent="0.3">
      <c r="A55" s="213" t="s">
        <v>28</v>
      </c>
      <c r="B55" s="213" t="s">
        <v>93</v>
      </c>
      <c r="C55" s="348" t="s">
        <v>30</v>
      </c>
      <c r="D55" s="349"/>
    </row>
    <row r="56" spans="1:4" x14ac:dyDescent="0.3">
      <c r="A56" s="37"/>
      <c r="B56" s="34"/>
      <c r="C56" s="32"/>
      <c r="D56" s="25"/>
    </row>
    <row r="57" spans="1:4" x14ac:dyDescent="0.3">
      <c r="A57" s="37"/>
      <c r="B57" s="34"/>
      <c r="C57" s="32"/>
      <c r="D57" s="25"/>
    </row>
    <row r="58" spans="1:4" x14ac:dyDescent="0.3">
      <c r="A58" s="37"/>
      <c r="B58" s="34"/>
      <c r="C58" s="32"/>
      <c r="D58" s="25"/>
    </row>
    <row r="59" spans="1:4" x14ac:dyDescent="0.3">
      <c r="A59" s="37"/>
      <c r="B59" s="34"/>
      <c r="C59" s="32"/>
      <c r="D59" s="25"/>
    </row>
    <row r="60" spans="1:4" x14ac:dyDescent="0.3">
      <c r="A60" s="37"/>
      <c r="B60" s="34"/>
      <c r="C60" s="32"/>
      <c r="D60" s="25"/>
    </row>
    <row r="61" spans="1:4" x14ac:dyDescent="0.3">
      <c r="A61" s="38" t="s">
        <v>298</v>
      </c>
      <c r="B61" s="35" t="s">
        <v>297</v>
      </c>
      <c r="C61" s="290" t="str">
        <f>B37</f>
        <v>DEISY EDITH GREFA VARGAS</v>
      </c>
      <c r="D61" s="291"/>
    </row>
    <row r="62" spans="1:4" ht="15" thickBot="1" x14ac:dyDescent="0.35">
      <c r="A62" s="36" t="s">
        <v>246</v>
      </c>
      <c r="B62" s="33" t="s">
        <v>299</v>
      </c>
      <c r="C62" s="353" t="str">
        <f>B38</f>
        <v>2200496376</v>
      </c>
      <c r="D62" s="354"/>
    </row>
    <row r="68" spans="1:4" ht="15" thickBot="1" x14ac:dyDescent="0.35"/>
    <row r="69" spans="1:4" x14ac:dyDescent="0.3">
      <c r="A69" s="294"/>
      <c r="B69" s="295"/>
      <c r="C69" s="295"/>
      <c r="D69" s="296"/>
    </row>
    <row r="70" spans="1:4" x14ac:dyDescent="0.3">
      <c r="A70" s="307"/>
      <c r="B70" s="308"/>
      <c r="C70" s="308"/>
      <c r="D70" s="309"/>
    </row>
    <row r="71" spans="1:4" ht="49.8" customHeight="1" thickBot="1" x14ac:dyDescent="0.35">
      <c r="A71" s="307"/>
      <c r="B71" s="308"/>
      <c r="C71" s="308"/>
      <c r="D71" s="309"/>
    </row>
    <row r="72" spans="1:4" ht="25.8" thickBot="1" x14ac:dyDescent="0.35">
      <c r="A72" s="350" t="s">
        <v>0</v>
      </c>
      <c r="B72" s="351"/>
      <c r="C72" s="351"/>
      <c r="D72" s="352"/>
    </row>
    <row r="73" spans="1:4" x14ac:dyDescent="0.3">
      <c r="A73" s="11" t="s">
        <v>1</v>
      </c>
      <c r="B73" s="3" t="str">
        <f>'ROL DE AGOSTO'!D10</f>
        <v>PEDRO PABLO MONTERO ALTAMIR</v>
      </c>
      <c r="C73" s="3"/>
      <c r="D73" s="12"/>
    </row>
    <row r="74" spans="1:4" x14ac:dyDescent="0.3">
      <c r="A74" s="11" t="s">
        <v>2</v>
      </c>
      <c r="B74" s="10" t="str">
        <f>'ROL DE AGOSTO'!C10</f>
        <v>1500518517</v>
      </c>
      <c r="C74" s="4"/>
      <c r="D74" s="13"/>
    </row>
    <row r="75" spans="1:4" x14ac:dyDescent="0.3">
      <c r="A75" s="11" t="s">
        <v>3</v>
      </c>
      <c r="B75" s="3" t="str">
        <f>'ROL DE AGOSTO'!E10</f>
        <v>1 VOCAL</v>
      </c>
      <c r="C75" s="4"/>
      <c r="D75" s="14"/>
    </row>
    <row r="76" spans="1:4" x14ac:dyDescent="0.3">
      <c r="A76" s="11" t="s">
        <v>26</v>
      </c>
      <c r="B76" s="3" t="str">
        <f>'ROL DE AGOSTO'!A10</f>
        <v>AGOSTO</v>
      </c>
      <c r="C76" s="4"/>
      <c r="D76" s="15"/>
    </row>
    <row r="77" spans="1:4" x14ac:dyDescent="0.3">
      <c r="A77" s="11" t="s">
        <v>99</v>
      </c>
      <c r="B77" s="55">
        <f>'ROL DE AGOSTO'!B10</f>
        <v>2023</v>
      </c>
      <c r="C77" s="4"/>
      <c r="D77" s="15"/>
    </row>
    <row r="78" spans="1:4" x14ac:dyDescent="0.3">
      <c r="A78" s="203" t="s">
        <v>94</v>
      </c>
      <c r="B78" s="204"/>
      <c r="C78" s="205" t="s">
        <v>5</v>
      </c>
      <c r="D78" s="206" t="s">
        <v>6</v>
      </c>
    </row>
    <row r="79" spans="1:4" x14ac:dyDescent="0.3">
      <c r="A79" s="18"/>
      <c r="B79" s="6"/>
      <c r="C79" s="7"/>
      <c r="D79" s="19"/>
    </row>
    <row r="80" spans="1:4" x14ac:dyDescent="0.3">
      <c r="A80" s="26" t="s">
        <v>16</v>
      </c>
      <c r="B80" s="27"/>
      <c r="C80" s="28">
        <f>'ROL DE AGOSTO'!F10</f>
        <v>536</v>
      </c>
      <c r="D80" s="29"/>
    </row>
    <row r="81" spans="1:4" x14ac:dyDescent="0.3">
      <c r="A81" s="26" t="s">
        <v>105</v>
      </c>
      <c r="B81" s="27"/>
      <c r="C81" s="28"/>
      <c r="D81" s="29"/>
    </row>
    <row r="82" spans="1:4" x14ac:dyDescent="0.3">
      <c r="A82" s="26" t="s">
        <v>8</v>
      </c>
      <c r="B82" s="27"/>
      <c r="C82" s="28"/>
      <c r="D82" s="29"/>
    </row>
    <row r="83" spans="1:4" x14ac:dyDescent="0.3">
      <c r="A83" s="26" t="s">
        <v>9</v>
      </c>
      <c r="B83" s="27"/>
      <c r="C83" s="28"/>
      <c r="D83" s="29"/>
    </row>
    <row r="84" spans="1:4" ht="24" x14ac:dyDescent="0.3">
      <c r="A84" s="26"/>
      <c r="B84" s="27" t="s">
        <v>10</v>
      </c>
      <c r="C84" s="28"/>
      <c r="D84" s="29">
        <f>'ROL DE AGOSTO'!L10</f>
        <v>61.37</v>
      </c>
    </row>
    <row r="85" spans="1:4" ht="24" x14ac:dyDescent="0.3">
      <c r="A85" s="26"/>
      <c r="B85" s="27" t="s">
        <v>11</v>
      </c>
      <c r="C85" s="28"/>
      <c r="D85" s="29">
        <f>'ROL DE AGOSTO'!O76</f>
        <v>0</v>
      </c>
    </row>
    <row r="86" spans="1:4" x14ac:dyDescent="0.3">
      <c r="A86" s="26"/>
      <c r="B86" s="27" t="s">
        <v>55</v>
      </c>
      <c r="C86" s="28"/>
      <c r="D86" s="29">
        <f>'ROL DE AGOSTO'!S10</f>
        <v>268</v>
      </c>
    </row>
    <row r="87" spans="1:4" ht="24" x14ac:dyDescent="0.3">
      <c r="A87" s="26"/>
      <c r="B87" s="27" t="s">
        <v>18</v>
      </c>
      <c r="C87" s="28"/>
      <c r="D87" s="29">
        <f>'ROL DE AGOSTO'!P10</f>
        <v>78.349999999999994</v>
      </c>
    </row>
    <row r="88" spans="1:4" x14ac:dyDescent="0.3">
      <c r="A88" s="207"/>
      <c r="B88" s="208" t="s">
        <v>12</v>
      </c>
      <c r="C88" s="209">
        <f>SUM(C80:C87)</f>
        <v>536</v>
      </c>
      <c r="D88" s="210">
        <f>SUM(D80:D87)</f>
        <v>407.72</v>
      </c>
    </row>
    <row r="89" spans="1:4" ht="28.2" x14ac:dyDescent="0.3">
      <c r="A89" s="21"/>
      <c r="B89" s="45"/>
      <c r="C89" s="211" t="s">
        <v>13</v>
      </c>
      <c r="D89" s="212">
        <f>+C88-D88</f>
        <v>128.27999999999997</v>
      </c>
    </row>
    <row r="90" spans="1:4" ht="15" thickBot="1" x14ac:dyDescent="0.35">
      <c r="A90" s="23"/>
      <c r="B90" s="4" t="s">
        <v>14</v>
      </c>
      <c r="C90" s="2"/>
      <c r="D90" s="24"/>
    </row>
    <row r="91" spans="1:4" x14ac:dyDescent="0.3">
      <c r="A91" s="213" t="s">
        <v>28</v>
      </c>
      <c r="B91" s="213" t="s">
        <v>93</v>
      </c>
      <c r="C91" s="348" t="s">
        <v>30</v>
      </c>
      <c r="D91" s="349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8" t="s">
        <v>298</v>
      </c>
      <c r="B97" s="35" t="s">
        <v>297</v>
      </c>
      <c r="C97" s="290" t="str">
        <f>'ROL INDIVIDUAL'!B73</f>
        <v>PEDRO PABLO MONTERO ALTAMIR</v>
      </c>
      <c r="D97" s="291"/>
    </row>
    <row r="98" spans="1:4" ht="15" thickBot="1" x14ac:dyDescent="0.35">
      <c r="A98" s="36" t="s">
        <v>246</v>
      </c>
      <c r="B98" s="33" t="s">
        <v>299</v>
      </c>
      <c r="C98" s="353" t="str">
        <f>B74</f>
        <v>1500518517</v>
      </c>
      <c r="D98" s="354"/>
    </row>
    <row r="99" spans="1:4" x14ac:dyDescent="0.3">
      <c r="A99" s="214"/>
      <c r="B99" s="58"/>
      <c r="C99" s="59"/>
      <c r="D99" s="215"/>
    </row>
    <row r="100" spans="1:4" ht="15" thickBot="1" x14ac:dyDescent="0.35">
      <c r="A100" s="214"/>
      <c r="B100" s="58"/>
      <c r="C100" s="59"/>
      <c r="D100" s="215"/>
    </row>
    <row r="101" spans="1:4" x14ac:dyDescent="0.3">
      <c r="A101" s="294"/>
      <c r="B101" s="295"/>
      <c r="C101" s="295"/>
      <c r="D101" s="296"/>
    </row>
    <row r="102" spans="1:4" x14ac:dyDescent="0.3">
      <c r="A102" s="307"/>
      <c r="B102" s="308"/>
      <c r="C102" s="308"/>
      <c r="D102" s="309"/>
    </row>
    <row r="103" spans="1:4" ht="46.8" customHeight="1" thickBot="1" x14ac:dyDescent="0.35">
      <c r="A103" s="307"/>
      <c r="B103" s="308"/>
      <c r="C103" s="308"/>
      <c r="D103" s="309"/>
    </row>
    <row r="104" spans="1:4" ht="25.8" thickBot="1" x14ac:dyDescent="0.35">
      <c r="A104" s="350" t="s">
        <v>0</v>
      </c>
      <c r="B104" s="351"/>
      <c r="C104" s="351"/>
      <c r="D104" s="352"/>
    </row>
    <row r="105" spans="1:4" x14ac:dyDescent="0.3">
      <c r="A105" s="11" t="s">
        <v>1</v>
      </c>
      <c r="B105" s="3" t="str">
        <f>'ROL DE AGOSTO'!D11</f>
        <v>FLAVIO FEDERICO GREFA SHIGUANGO</v>
      </c>
      <c r="C105" s="3"/>
      <c r="D105" s="12"/>
    </row>
    <row r="106" spans="1:4" x14ac:dyDescent="0.3">
      <c r="A106" s="11" t="s">
        <v>2</v>
      </c>
      <c r="B106" s="10" t="s">
        <v>303</v>
      </c>
      <c r="C106" s="4"/>
      <c r="D106" s="13"/>
    </row>
    <row r="107" spans="1:4" x14ac:dyDescent="0.3">
      <c r="A107" s="11" t="s">
        <v>3</v>
      </c>
      <c r="B107" s="3" t="str">
        <f>'ROL DE AGOSTO'!E11</f>
        <v>2 VOCAL</v>
      </c>
      <c r="C107" s="4"/>
      <c r="D107" s="14"/>
    </row>
    <row r="108" spans="1:4" x14ac:dyDescent="0.3">
      <c r="A108" s="11" t="s">
        <v>26</v>
      </c>
      <c r="B108" s="3" t="str">
        <f>'ROL DE AGOSTO'!A11</f>
        <v>AGOSTO</v>
      </c>
      <c r="C108" s="4"/>
      <c r="D108" s="15"/>
    </row>
    <row r="109" spans="1:4" x14ac:dyDescent="0.3">
      <c r="A109" s="11" t="s">
        <v>99</v>
      </c>
      <c r="B109" s="55">
        <f>'ROL DE AGOSTO'!B11</f>
        <v>2023</v>
      </c>
      <c r="C109" s="4"/>
      <c r="D109" s="15"/>
    </row>
    <row r="110" spans="1:4" x14ac:dyDescent="0.3">
      <c r="A110" s="203" t="s">
        <v>94</v>
      </c>
      <c r="B110" s="204"/>
      <c r="C110" s="205" t="s">
        <v>5</v>
      </c>
      <c r="D110" s="206" t="s">
        <v>6</v>
      </c>
    </row>
    <row r="111" spans="1:4" x14ac:dyDescent="0.3">
      <c r="A111" s="18"/>
      <c r="B111" s="6"/>
      <c r="C111" s="7"/>
      <c r="D111" s="19"/>
    </row>
    <row r="112" spans="1:4" x14ac:dyDescent="0.3">
      <c r="A112" s="26" t="s">
        <v>16</v>
      </c>
      <c r="B112" s="27"/>
      <c r="C112" s="28">
        <f>'ROL DE AGOSTO'!K12</f>
        <v>536</v>
      </c>
      <c r="D112" s="29"/>
    </row>
    <row r="113" spans="1:4" x14ac:dyDescent="0.3">
      <c r="A113" s="26" t="s">
        <v>105</v>
      </c>
      <c r="B113" s="27"/>
      <c r="C113" s="28"/>
      <c r="D113" s="29"/>
    </row>
    <row r="114" spans="1:4" x14ac:dyDescent="0.3">
      <c r="A114" s="26" t="s">
        <v>8</v>
      </c>
      <c r="B114" s="27"/>
      <c r="C114" s="28"/>
      <c r="D114" s="29"/>
    </row>
    <row r="115" spans="1:4" x14ac:dyDescent="0.3">
      <c r="A115" s="26" t="s">
        <v>9</v>
      </c>
      <c r="B115" s="27"/>
      <c r="C115" s="28"/>
      <c r="D115" s="29"/>
    </row>
    <row r="116" spans="1:4" ht="24" x14ac:dyDescent="0.3">
      <c r="A116" s="26"/>
      <c r="B116" s="27" t="s">
        <v>10</v>
      </c>
      <c r="C116" s="28"/>
      <c r="D116" s="29">
        <f>'ROL DE AGOSTO'!L11</f>
        <v>61.37</v>
      </c>
    </row>
    <row r="117" spans="1:4" ht="24" x14ac:dyDescent="0.3">
      <c r="A117" s="26"/>
      <c r="B117" s="27" t="s">
        <v>11</v>
      </c>
      <c r="C117" s="28"/>
      <c r="D117" s="29"/>
    </row>
    <row r="118" spans="1:4" x14ac:dyDescent="0.3">
      <c r="A118" s="26"/>
      <c r="B118" s="27" t="s">
        <v>55</v>
      </c>
      <c r="C118" s="28"/>
      <c r="D118" s="29">
        <f>'ROL DE AGOSTO'!S11</f>
        <v>268</v>
      </c>
    </row>
    <row r="119" spans="1:4" ht="24" x14ac:dyDescent="0.3">
      <c r="A119" s="26"/>
      <c r="B119" s="27" t="s">
        <v>18</v>
      </c>
      <c r="C119" s="28"/>
      <c r="D119" s="29">
        <f>'ROL DE AGOSTO'!P11</f>
        <v>85</v>
      </c>
    </row>
    <row r="120" spans="1:4" x14ac:dyDescent="0.3">
      <c r="A120" s="207"/>
      <c r="B120" s="208" t="s">
        <v>12</v>
      </c>
      <c r="C120" s="209">
        <f>SUM(C112:C119)</f>
        <v>536</v>
      </c>
      <c r="D120" s="210">
        <f>SUM(D112:D119)</f>
        <v>414.37</v>
      </c>
    </row>
    <row r="121" spans="1:4" ht="28.2" x14ac:dyDescent="0.3">
      <c r="A121" s="21"/>
      <c r="B121" s="45"/>
      <c r="C121" s="211" t="s">
        <v>13</v>
      </c>
      <c r="D121" s="212">
        <f>+C120-D120</f>
        <v>121.63</v>
      </c>
    </row>
    <row r="122" spans="1:4" ht="15" thickBot="1" x14ac:dyDescent="0.35">
      <c r="A122" s="23"/>
      <c r="B122" s="4" t="s">
        <v>14</v>
      </c>
      <c r="C122" s="2"/>
      <c r="D122" s="24"/>
    </row>
    <row r="123" spans="1:4" x14ac:dyDescent="0.3">
      <c r="A123" s="213" t="s">
        <v>28</v>
      </c>
      <c r="B123" s="213" t="s">
        <v>93</v>
      </c>
      <c r="C123" s="348" t="s">
        <v>30</v>
      </c>
      <c r="D123" s="349"/>
    </row>
    <row r="124" spans="1:4" x14ac:dyDescent="0.3">
      <c r="A124" s="37"/>
      <c r="B124" s="34"/>
      <c r="C124" s="32"/>
      <c r="D124" s="25"/>
    </row>
    <row r="125" spans="1:4" x14ac:dyDescent="0.3">
      <c r="A125" s="37"/>
      <c r="B125" s="34"/>
      <c r="C125" s="32"/>
      <c r="D125" s="25"/>
    </row>
    <row r="126" spans="1:4" x14ac:dyDescent="0.3">
      <c r="A126" s="37"/>
      <c r="B126" s="34"/>
      <c r="C126" s="32"/>
      <c r="D126" s="25"/>
    </row>
    <row r="127" spans="1:4" x14ac:dyDescent="0.3">
      <c r="A127" s="37"/>
      <c r="B127" s="34"/>
      <c r="C127" s="32"/>
      <c r="D127" s="25"/>
    </row>
    <row r="128" spans="1:4" x14ac:dyDescent="0.3">
      <c r="A128" s="37"/>
      <c r="B128" s="34"/>
      <c r="C128" s="32"/>
      <c r="D128" s="25"/>
    </row>
    <row r="129" spans="1:4" x14ac:dyDescent="0.3">
      <c r="A129" s="38" t="s">
        <v>298</v>
      </c>
      <c r="B129" s="35" t="s">
        <v>297</v>
      </c>
      <c r="C129" s="290" t="str">
        <f>B105</f>
        <v>FLAVIO FEDERICO GREFA SHIGUANGO</v>
      </c>
      <c r="D129" s="291"/>
    </row>
    <row r="130" spans="1:4" ht="15" customHeight="1" thickBot="1" x14ac:dyDescent="0.35">
      <c r="A130" s="36" t="s">
        <v>246</v>
      </c>
      <c r="B130" s="33" t="s">
        <v>299</v>
      </c>
      <c r="C130" s="353" t="str">
        <f>B106</f>
        <v>1500367295</v>
      </c>
      <c r="D130" s="354"/>
    </row>
    <row r="133" spans="1:4" ht="15" thickBot="1" x14ac:dyDescent="0.35"/>
    <row r="134" spans="1:4" x14ac:dyDescent="0.3">
      <c r="A134" s="294"/>
      <c r="B134" s="295"/>
      <c r="C134" s="295"/>
      <c r="D134" s="296"/>
    </row>
    <row r="135" spans="1:4" x14ac:dyDescent="0.3">
      <c r="A135" s="307"/>
      <c r="B135" s="308"/>
      <c r="C135" s="308"/>
      <c r="D135" s="309"/>
    </row>
    <row r="136" spans="1:4" ht="15" thickBot="1" x14ac:dyDescent="0.35">
      <c r="A136" s="307"/>
      <c r="B136" s="308"/>
      <c r="C136" s="308"/>
      <c r="D136" s="309"/>
    </row>
    <row r="137" spans="1:4" ht="25.8" thickBot="1" x14ac:dyDescent="0.35">
      <c r="A137" s="350" t="s">
        <v>0</v>
      </c>
      <c r="B137" s="351"/>
      <c r="C137" s="351"/>
      <c r="D137" s="352"/>
    </row>
    <row r="138" spans="1:4" x14ac:dyDescent="0.3">
      <c r="A138" s="11" t="s">
        <v>1</v>
      </c>
      <c r="B138" s="3" t="str">
        <f>'ROL DE AGOSTO'!D12</f>
        <v>JEANET VIVIANA VASQUEZ YUMBO</v>
      </c>
      <c r="C138" s="3"/>
      <c r="D138" s="12"/>
    </row>
    <row r="139" spans="1:4" x14ac:dyDescent="0.3">
      <c r="A139" s="11" t="s">
        <v>2</v>
      </c>
      <c r="B139" s="55">
        <f>'ROL DE AGOSTO'!C12</f>
        <v>1500814940</v>
      </c>
      <c r="C139" s="4"/>
      <c r="D139" s="13"/>
    </row>
    <row r="140" spans="1:4" x14ac:dyDescent="0.3">
      <c r="A140" s="11" t="s">
        <v>3</v>
      </c>
      <c r="B140" s="3" t="str">
        <f>'ROL DE AGOSTO'!E12</f>
        <v>3 VOCAL</v>
      </c>
      <c r="C140" s="4"/>
      <c r="D140" s="14"/>
    </row>
    <row r="141" spans="1:4" x14ac:dyDescent="0.3">
      <c r="A141" s="11" t="s">
        <v>26</v>
      </c>
      <c r="B141" s="3" t="str">
        <f>'ROL DE AGOSTO'!A12</f>
        <v>AGOSTO</v>
      </c>
      <c r="C141" s="4"/>
      <c r="D141" s="15"/>
    </row>
    <row r="142" spans="1:4" x14ac:dyDescent="0.3">
      <c r="A142" s="11" t="s">
        <v>99</v>
      </c>
      <c r="B142" s="55">
        <f>'ROL DE AGOSTO'!B12</f>
        <v>2023</v>
      </c>
      <c r="C142" s="4"/>
      <c r="D142" s="15"/>
    </row>
    <row r="143" spans="1:4" x14ac:dyDescent="0.3">
      <c r="A143" s="203" t="s">
        <v>94</v>
      </c>
      <c r="B143" s="204"/>
      <c r="C143" s="205" t="s">
        <v>5</v>
      </c>
      <c r="D143" s="206" t="s">
        <v>6</v>
      </c>
    </row>
    <row r="144" spans="1:4" x14ac:dyDescent="0.3">
      <c r="A144" s="18"/>
      <c r="B144" s="6"/>
      <c r="C144" s="7"/>
      <c r="D144" s="19"/>
    </row>
    <row r="145" spans="1:4" x14ac:dyDescent="0.3">
      <c r="A145" s="26" t="s">
        <v>16</v>
      </c>
      <c r="B145" s="27"/>
      <c r="C145" s="28">
        <f>'ROL DE AGOSTO'!F12</f>
        <v>536</v>
      </c>
      <c r="D145" s="29"/>
    </row>
    <row r="146" spans="1:4" x14ac:dyDescent="0.3">
      <c r="A146" s="26" t="s">
        <v>105</v>
      </c>
      <c r="B146" s="27"/>
      <c r="C146" s="28"/>
      <c r="D146" s="29"/>
    </row>
    <row r="147" spans="1:4" x14ac:dyDescent="0.3">
      <c r="A147" s="26" t="s">
        <v>8</v>
      </c>
      <c r="B147" s="27"/>
      <c r="C147" s="28"/>
      <c r="D147" s="29"/>
    </row>
    <row r="148" spans="1:4" x14ac:dyDescent="0.3">
      <c r="A148" s="26" t="s">
        <v>9</v>
      </c>
      <c r="B148" s="27"/>
      <c r="C148" s="28"/>
      <c r="D148" s="29"/>
    </row>
    <row r="149" spans="1:4" ht="24" x14ac:dyDescent="0.3">
      <c r="A149" s="26"/>
      <c r="B149" s="27" t="s">
        <v>10</v>
      </c>
      <c r="C149" s="28"/>
      <c r="D149" s="29">
        <f>'ROL DE AGOSTO'!L12</f>
        <v>61.37</v>
      </c>
    </row>
    <row r="150" spans="1:4" ht="24" x14ac:dyDescent="0.3">
      <c r="A150" s="26"/>
      <c r="B150" s="27" t="s">
        <v>11</v>
      </c>
      <c r="C150" s="28"/>
      <c r="D150" s="29">
        <f>'ROL DE AGOSTO'!O141</f>
        <v>0</v>
      </c>
    </row>
    <row r="151" spans="1:4" x14ac:dyDescent="0.3">
      <c r="A151" s="26"/>
      <c r="B151" s="27" t="s">
        <v>55</v>
      </c>
      <c r="C151" s="28"/>
      <c r="D151" s="29">
        <f>'ROL DE AGOSTO'!S12</f>
        <v>229.71428571428572</v>
      </c>
    </row>
    <row r="152" spans="1:4" ht="24" x14ac:dyDescent="0.3">
      <c r="A152" s="26"/>
      <c r="B152" s="27" t="s">
        <v>18</v>
      </c>
      <c r="C152" s="28"/>
      <c r="D152" s="29">
        <f>'ROL DE AGOSTO'!P12</f>
        <v>72.349999999999994</v>
      </c>
    </row>
    <row r="153" spans="1:4" x14ac:dyDescent="0.3">
      <c r="A153" s="207"/>
      <c r="B153" s="208" t="s">
        <v>12</v>
      </c>
      <c r="C153" s="209">
        <f>SUM(C145:C152)</f>
        <v>536</v>
      </c>
      <c r="D153" s="210">
        <f>SUM(D145:D152)</f>
        <v>363.43428571428569</v>
      </c>
    </row>
    <row r="154" spans="1:4" ht="28.2" x14ac:dyDescent="0.3">
      <c r="A154" s="21"/>
      <c r="B154" s="45"/>
      <c r="C154" s="211" t="s">
        <v>13</v>
      </c>
      <c r="D154" s="212">
        <f>+C153-D153</f>
        <v>172.56571428571431</v>
      </c>
    </row>
    <row r="155" spans="1:4" ht="15" thickBot="1" x14ac:dyDescent="0.35">
      <c r="A155" s="23"/>
      <c r="B155" s="4" t="s">
        <v>14</v>
      </c>
      <c r="C155" s="2"/>
      <c r="D155" s="24"/>
    </row>
    <row r="156" spans="1:4" x14ac:dyDescent="0.3">
      <c r="A156" s="213" t="s">
        <v>28</v>
      </c>
      <c r="B156" s="213" t="s">
        <v>93</v>
      </c>
      <c r="C156" s="348" t="s">
        <v>30</v>
      </c>
      <c r="D156" s="349"/>
    </row>
    <row r="157" spans="1:4" x14ac:dyDescent="0.3">
      <c r="A157" s="37"/>
      <c r="B157" s="34"/>
      <c r="C157" s="32"/>
      <c r="D157" s="25"/>
    </row>
    <row r="158" spans="1:4" x14ac:dyDescent="0.3">
      <c r="A158" s="37"/>
      <c r="B158" s="34"/>
      <c r="C158" s="32"/>
      <c r="D158" s="25"/>
    </row>
    <row r="159" spans="1:4" x14ac:dyDescent="0.3">
      <c r="A159" s="37"/>
      <c r="B159" s="34"/>
      <c r="C159" s="32"/>
      <c r="D159" s="25"/>
    </row>
    <row r="160" spans="1:4" x14ac:dyDescent="0.3">
      <c r="A160" s="37"/>
      <c r="B160" s="34"/>
      <c r="C160" s="32"/>
      <c r="D160" s="25"/>
    </row>
    <row r="161" spans="1:4" x14ac:dyDescent="0.3">
      <c r="A161" s="37"/>
      <c r="B161" s="34"/>
      <c r="C161" s="32"/>
      <c r="D161" s="25"/>
    </row>
    <row r="162" spans="1:4" x14ac:dyDescent="0.3">
      <c r="A162" s="38" t="s">
        <v>298</v>
      </c>
      <c r="B162" s="35" t="s">
        <v>297</v>
      </c>
      <c r="C162" s="290" t="str">
        <f>'ROL INDIVIDUAL'!B138</f>
        <v>JEANET VIVIANA VASQUEZ YUMBO</v>
      </c>
      <c r="D162" s="291"/>
    </row>
    <row r="163" spans="1:4" ht="15" thickBot="1" x14ac:dyDescent="0.35">
      <c r="A163" s="36" t="s">
        <v>246</v>
      </c>
      <c r="B163" s="33" t="s">
        <v>299</v>
      </c>
      <c r="C163" s="353">
        <f>B139</f>
        <v>1500814940</v>
      </c>
      <c r="D163" s="354"/>
    </row>
    <row r="164" spans="1:4" x14ac:dyDescent="0.3">
      <c r="A164" s="214"/>
      <c r="B164" s="58"/>
      <c r="C164" s="59"/>
      <c r="D164" s="215"/>
    </row>
    <row r="165" spans="1:4" ht="15" thickBot="1" x14ac:dyDescent="0.35">
      <c r="A165" s="214"/>
      <c r="B165" s="58"/>
      <c r="C165" s="59"/>
      <c r="D165" s="215"/>
    </row>
    <row r="166" spans="1:4" x14ac:dyDescent="0.3">
      <c r="A166" s="294"/>
      <c r="B166" s="295"/>
      <c r="C166" s="295"/>
      <c r="D166" s="296"/>
    </row>
    <row r="167" spans="1:4" x14ac:dyDescent="0.3">
      <c r="A167" s="307"/>
      <c r="B167" s="308"/>
      <c r="C167" s="308"/>
      <c r="D167" s="309"/>
    </row>
    <row r="168" spans="1:4" ht="15" thickBot="1" x14ac:dyDescent="0.35">
      <c r="A168" s="307"/>
      <c r="B168" s="308"/>
      <c r="C168" s="308"/>
      <c r="D168" s="309"/>
    </row>
    <row r="169" spans="1:4" ht="25.8" thickBot="1" x14ac:dyDescent="0.35">
      <c r="A169" s="350" t="s">
        <v>0</v>
      </c>
      <c r="B169" s="351"/>
      <c r="C169" s="351"/>
      <c r="D169" s="352"/>
    </row>
    <row r="170" spans="1:4" x14ac:dyDescent="0.3">
      <c r="A170" s="11" t="s">
        <v>1</v>
      </c>
      <c r="B170" s="3" t="str">
        <f>'ROL DE AGOSTO'!D13</f>
        <v>BONILLA QUERA  INES ROCIO</v>
      </c>
      <c r="C170" s="3"/>
      <c r="D170" s="12"/>
    </row>
    <row r="171" spans="1:4" x14ac:dyDescent="0.3">
      <c r="A171" s="11" t="s">
        <v>2</v>
      </c>
      <c r="B171" s="10" t="str">
        <f>'ROL DE AGOSTO'!C13</f>
        <v>2200277818</v>
      </c>
      <c r="C171" s="4"/>
      <c r="D171" s="13"/>
    </row>
    <row r="172" spans="1:4" x14ac:dyDescent="0.3">
      <c r="A172" s="11" t="s">
        <v>3</v>
      </c>
      <c r="B172" s="3" t="str">
        <f>'ROL DE AGOSTO'!E13</f>
        <v>TESORERA_SECRETARIA</v>
      </c>
      <c r="C172" s="4"/>
      <c r="D172" s="14"/>
    </row>
    <row r="173" spans="1:4" x14ac:dyDescent="0.3">
      <c r="A173" s="11" t="s">
        <v>26</v>
      </c>
      <c r="B173" s="3" t="str">
        <f>'ROL DE AGOSTO'!A13</f>
        <v>AGOSTO</v>
      </c>
      <c r="C173" s="4"/>
      <c r="D173" s="15"/>
    </row>
    <row r="174" spans="1:4" x14ac:dyDescent="0.3">
      <c r="A174" s="11" t="s">
        <v>99</v>
      </c>
      <c r="B174" s="55">
        <f>'ROL DE AGOSTO'!B13</f>
        <v>2023</v>
      </c>
      <c r="C174" s="4"/>
      <c r="D174" s="15"/>
    </row>
    <row r="175" spans="1:4" x14ac:dyDescent="0.3">
      <c r="A175" s="203" t="s">
        <v>94</v>
      </c>
      <c r="B175" s="204"/>
      <c r="C175" s="205" t="s">
        <v>5</v>
      </c>
      <c r="D175" s="206" t="s">
        <v>6</v>
      </c>
    </row>
    <row r="176" spans="1:4" x14ac:dyDescent="0.3">
      <c r="A176" s="18"/>
      <c r="B176" s="6"/>
      <c r="C176" s="7"/>
      <c r="D176" s="19"/>
    </row>
    <row r="177" spans="1:4" x14ac:dyDescent="0.3">
      <c r="A177" s="26" t="s">
        <v>16</v>
      </c>
      <c r="B177" s="27"/>
      <c r="C177" s="28">
        <f>'ROL DE AGOSTO'!F13</f>
        <v>733</v>
      </c>
      <c r="D177" s="29"/>
    </row>
    <row r="178" spans="1:4" x14ac:dyDescent="0.3">
      <c r="A178" s="26" t="s">
        <v>105</v>
      </c>
      <c r="B178" s="27"/>
      <c r="C178" s="28"/>
      <c r="D178" s="29"/>
    </row>
    <row r="179" spans="1:4" x14ac:dyDescent="0.3">
      <c r="A179" s="26" t="s">
        <v>8</v>
      </c>
      <c r="B179" s="27"/>
      <c r="C179" s="28"/>
      <c r="D179" s="29"/>
    </row>
    <row r="180" spans="1:4" x14ac:dyDescent="0.3">
      <c r="A180" s="26" t="s">
        <v>9</v>
      </c>
      <c r="B180" s="27"/>
      <c r="C180" s="28"/>
      <c r="D180" s="29"/>
    </row>
    <row r="181" spans="1:4" ht="24" x14ac:dyDescent="0.3">
      <c r="A181" s="26"/>
      <c r="B181" s="27" t="s">
        <v>10</v>
      </c>
      <c r="C181" s="28"/>
      <c r="D181" s="29">
        <f>'ROL DE AGOSTO'!L13</f>
        <v>83.93</v>
      </c>
    </row>
    <row r="182" spans="1:4" ht="24" x14ac:dyDescent="0.3">
      <c r="A182" s="26"/>
      <c r="B182" s="27" t="s">
        <v>11</v>
      </c>
      <c r="C182" s="28"/>
      <c r="D182" s="29">
        <f>'ROL DE AGOSTO'!O142</f>
        <v>0</v>
      </c>
    </row>
    <row r="183" spans="1:4" x14ac:dyDescent="0.3">
      <c r="A183" s="26"/>
      <c r="B183" s="27" t="s">
        <v>55</v>
      </c>
      <c r="C183" s="28"/>
      <c r="D183" s="29">
        <f>'ROL DE AGOSTO'!S142</f>
        <v>0</v>
      </c>
    </row>
    <row r="184" spans="1:4" ht="24" x14ac:dyDescent="0.3">
      <c r="A184" s="26"/>
      <c r="B184" s="27" t="s">
        <v>18</v>
      </c>
      <c r="C184" s="28"/>
      <c r="D184" s="29">
        <f>'ROL DE AGOSTO'!P142</f>
        <v>0</v>
      </c>
    </row>
    <row r="185" spans="1:4" x14ac:dyDescent="0.3">
      <c r="A185" s="207"/>
      <c r="B185" s="208" t="s">
        <v>12</v>
      </c>
      <c r="C185" s="209">
        <f>SUM(C177:C184)</f>
        <v>733</v>
      </c>
      <c r="D185" s="210">
        <f>SUM(D177:D184)</f>
        <v>83.93</v>
      </c>
    </row>
    <row r="186" spans="1:4" ht="28.2" x14ac:dyDescent="0.3">
      <c r="A186" s="21"/>
      <c r="B186" s="45"/>
      <c r="C186" s="211" t="s">
        <v>13</v>
      </c>
      <c r="D186" s="212">
        <f>+C185-D185</f>
        <v>649.06999999999994</v>
      </c>
    </row>
    <row r="187" spans="1:4" ht="15" thickBot="1" x14ac:dyDescent="0.35">
      <c r="A187" s="23"/>
      <c r="B187" s="4" t="s">
        <v>14</v>
      </c>
      <c r="C187" s="2"/>
      <c r="D187" s="24"/>
    </row>
    <row r="188" spans="1:4" x14ac:dyDescent="0.3">
      <c r="A188" s="213" t="s">
        <v>28</v>
      </c>
      <c r="B188" s="213" t="s">
        <v>93</v>
      </c>
      <c r="C188" s="348" t="s">
        <v>30</v>
      </c>
      <c r="D188" s="349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8" t="s">
        <v>298</v>
      </c>
      <c r="B194" s="35" t="s">
        <v>297</v>
      </c>
      <c r="C194" s="290" t="str">
        <f>B170</f>
        <v>BONILLA QUERA  INES ROCIO</v>
      </c>
      <c r="D194" s="291"/>
    </row>
    <row r="195" spans="1:4" ht="15" thickBot="1" x14ac:dyDescent="0.35">
      <c r="A195" s="36" t="s">
        <v>246</v>
      </c>
      <c r="B195" s="33" t="s">
        <v>299</v>
      </c>
      <c r="C195" s="353" t="str">
        <f>B171</f>
        <v>2200277818</v>
      </c>
      <c r="D195" s="354"/>
    </row>
    <row r="203" spans="1:4" ht="15" thickBot="1" x14ac:dyDescent="0.35"/>
    <row r="204" spans="1:4" x14ac:dyDescent="0.3">
      <c r="A204" s="294"/>
      <c r="B204" s="295"/>
      <c r="C204" s="295"/>
      <c r="D204" s="296"/>
    </row>
    <row r="205" spans="1:4" x14ac:dyDescent="0.3">
      <c r="A205" s="307"/>
      <c r="B205" s="308"/>
      <c r="C205" s="308"/>
      <c r="D205" s="309"/>
    </row>
    <row r="206" spans="1:4" ht="15" thickBot="1" x14ac:dyDescent="0.35">
      <c r="A206" s="307"/>
      <c r="B206" s="308"/>
      <c r="C206" s="308"/>
      <c r="D206" s="309"/>
    </row>
    <row r="207" spans="1:4" ht="25.8" thickBot="1" x14ac:dyDescent="0.35">
      <c r="A207" s="350" t="s">
        <v>0</v>
      </c>
      <c r="B207" s="351"/>
      <c r="C207" s="351"/>
      <c r="D207" s="352"/>
    </row>
    <row r="208" spans="1:4" x14ac:dyDescent="0.3">
      <c r="A208" s="11" t="s">
        <v>1</v>
      </c>
      <c r="B208" s="3" t="str">
        <f>'ROL DE AGOSTO'!D29</f>
        <v>AREVALO VILLACRES MONICA LETICIA</v>
      </c>
      <c r="C208" s="3"/>
      <c r="D208" s="12"/>
    </row>
    <row r="209" spans="1:4" x14ac:dyDescent="0.3">
      <c r="A209" s="11" t="s">
        <v>2</v>
      </c>
      <c r="B209" s="55" t="str">
        <f>'ROL DE AGOSTO'!C29</f>
        <v>2250187560</v>
      </c>
      <c r="C209" s="4"/>
      <c r="D209" s="13"/>
    </row>
    <row r="210" spans="1:4" x14ac:dyDescent="0.3">
      <c r="A210" s="11" t="s">
        <v>3</v>
      </c>
      <c r="B210" s="3" t="str">
        <f>'ROL DE AGOSTO'!E29</f>
        <v>SECRETARIA-AUXILIAR</v>
      </c>
      <c r="C210" s="4"/>
      <c r="D210" s="14"/>
    </row>
    <row r="211" spans="1:4" x14ac:dyDescent="0.3">
      <c r="A211" s="11" t="s">
        <v>26</v>
      </c>
      <c r="B211" s="3" t="str">
        <f>'ROL DE AGOSTO'!A29</f>
        <v>AGOSTO</v>
      </c>
      <c r="C211" s="4"/>
      <c r="D211" s="15"/>
    </row>
    <row r="212" spans="1:4" x14ac:dyDescent="0.3">
      <c r="A212" s="11" t="s">
        <v>99</v>
      </c>
      <c r="B212" s="55">
        <f>'ROL DE AGOSTO'!B211</f>
        <v>0</v>
      </c>
      <c r="C212" s="4"/>
      <c r="D212" s="15"/>
    </row>
    <row r="213" spans="1:4" x14ac:dyDescent="0.3">
      <c r="A213" s="203" t="s">
        <v>94</v>
      </c>
      <c r="B213" s="204"/>
      <c r="C213" s="205" t="s">
        <v>5</v>
      </c>
      <c r="D213" s="206" t="s">
        <v>6</v>
      </c>
    </row>
    <row r="214" spans="1:4" x14ac:dyDescent="0.3">
      <c r="A214" s="18"/>
      <c r="B214" s="6"/>
      <c r="C214" s="7"/>
      <c r="D214" s="19"/>
    </row>
    <row r="215" spans="1:4" x14ac:dyDescent="0.3">
      <c r="A215" s="26" t="s">
        <v>16</v>
      </c>
      <c r="B215" s="27"/>
      <c r="C215" s="28">
        <f>'ROL DE AGOSTO'!F29</f>
        <v>553</v>
      </c>
      <c r="D215" s="29"/>
    </row>
    <row r="216" spans="1:4" x14ac:dyDescent="0.3">
      <c r="A216" s="26" t="s">
        <v>105</v>
      </c>
      <c r="B216" s="27"/>
      <c r="C216" s="28"/>
      <c r="D216" s="29"/>
    </row>
    <row r="217" spans="1:4" x14ac:dyDescent="0.3">
      <c r="A217" s="26" t="s">
        <v>8</v>
      </c>
      <c r="B217" s="27"/>
      <c r="C217" s="28"/>
      <c r="D217" s="29"/>
    </row>
    <row r="218" spans="1:4" x14ac:dyDescent="0.3">
      <c r="A218" s="26" t="s">
        <v>9</v>
      </c>
      <c r="B218" s="27"/>
      <c r="C218" s="28"/>
      <c r="D218" s="29"/>
    </row>
    <row r="219" spans="1:4" ht="24" x14ac:dyDescent="0.3">
      <c r="A219" s="26"/>
      <c r="B219" s="27" t="s">
        <v>10</v>
      </c>
      <c r="C219" s="28"/>
      <c r="D219" s="29">
        <f>'ROL DE AGOSTO'!L29</f>
        <v>52.258499999999991</v>
      </c>
    </row>
    <row r="220" spans="1:4" ht="24" x14ac:dyDescent="0.3">
      <c r="A220" s="26"/>
      <c r="B220" s="27" t="s">
        <v>304</v>
      </c>
      <c r="C220" s="28"/>
      <c r="D220" s="29">
        <f>'ROL DE AGOSTO'!O29</f>
        <v>0</v>
      </c>
    </row>
    <row r="221" spans="1:4" x14ac:dyDescent="0.3">
      <c r="A221" s="26"/>
      <c r="B221" s="27" t="s">
        <v>55</v>
      </c>
      <c r="C221" s="28"/>
      <c r="D221" s="29">
        <f>'ROL DE AGOSTO'!S29</f>
        <v>0</v>
      </c>
    </row>
    <row r="222" spans="1:4" ht="24" x14ac:dyDescent="0.3">
      <c r="A222" s="26"/>
      <c r="B222" s="27" t="s">
        <v>18</v>
      </c>
      <c r="C222" s="28"/>
      <c r="D222" s="29">
        <f>'ROL DE AGOSTO'!P29</f>
        <v>0</v>
      </c>
    </row>
    <row r="223" spans="1:4" x14ac:dyDescent="0.3">
      <c r="A223" s="207"/>
      <c r="B223" s="208" t="s">
        <v>12</v>
      </c>
      <c r="C223" s="209">
        <f>SUM(C215:C222)</f>
        <v>553</v>
      </c>
      <c r="D223" s="210">
        <f>SUM(D215:D222)</f>
        <v>52.258499999999991</v>
      </c>
    </row>
    <row r="224" spans="1:4" ht="28.2" x14ac:dyDescent="0.3">
      <c r="A224" s="21"/>
      <c r="B224" s="45"/>
      <c r="C224" s="211" t="s">
        <v>13</v>
      </c>
      <c r="D224" s="212">
        <f>+C223-D223</f>
        <v>500.74150000000003</v>
      </c>
    </row>
    <row r="225" spans="1:4" ht="15" thickBot="1" x14ac:dyDescent="0.35">
      <c r="A225" s="23"/>
      <c r="B225" s="4" t="s">
        <v>14</v>
      </c>
      <c r="C225" s="2"/>
      <c r="D225" s="24"/>
    </row>
    <row r="226" spans="1:4" x14ac:dyDescent="0.3">
      <c r="A226" s="213" t="s">
        <v>28</v>
      </c>
      <c r="B226" s="213" t="s">
        <v>93</v>
      </c>
      <c r="C226" s="348" t="s">
        <v>30</v>
      </c>
      <c r="D226" s="349"/>
    </row>
    <row r="227" spans="1:4" x14ac:dyDescent="0.3">
      <c r="A227" s="37"/>
      <c r="B227" s="34"/>
      <c r="C227" s="32"/>
      <c r="D227" s="25"/>
    </row>
    <row r="228" spans="1:4" x14ac:dyDescent="0.3">
      <c r="A228" s="37"/>
      <c r="B228" s="34"/>
      <c r="C228" s="32"/>
      <c r="D228" s="25"/>
    </row>
    <row r="229" spans="1:4" x14ac:dyDescent="0.3">
      <c r="A229" s="37"/>
      <c r="B229" s="34"/>
      <c r="C229" s="32"/>
      <c r="D229" s="25"/>
    </row>
    <row r="230" spans="1:4" x14ac:dyDescent="0.3">
      <c r="A230" s="37"/>
      <c r="B230" s="34"/>
      <c r="C230" s="32"/>
      <c r="D230" s="25"/>
    </row>
    <row r="231" spans="1:4" x14ac:dyDescent="0.3">
      <c r="A231" s="37"/>
      <c r="B231" s="34"/>
      <c r="C231" s="32"/>
      <c r="D231" s="25"/>
    </row>
    <row r="232" spans="1:4" x14ac:dyDescent="0.3">
      <c r="A232" s="38" t="s">
        <v>298</v>
      </c>
      <c r="B232" s="35" t="s">
        <v>297</v>
      </c>
      <c r="C232" s="290" t="str">
        <f>'ROL INDIVIDUAL'!B208</f>
        <v>AREVALO VILLACRES MONICA LETICIA</v>
      </c>
      <c r="D232" s="291"/>
    </row>
    <row r="233" spans="1:4" ht="15" thickBot="1" x14ac:dyDescent="0.35">
      <c r="A233" s="36" t="s">
        <v>246</v>
      </c>
      <c r="B233" s="33" t="s">
        <v>299</v>
      </c>
      <c r="C233" s="353" t="str">
        <f>B209</f>
        <v>2250187560</v>
      </c>
      <c r="D233" s="354"/>
    </row>
    <row r="234" spans="1:4" x14ac:dyDescent="0.3">
      <c r="A234" s="214"/>
      <c r="B234" s="58"/>
      <c r="C234" s="59"/>
      <c r="D234" s="215"/>
    </row>
    <row r="235" spans="1:4" ht="15" thickBot="1" x14ac:dyDescent="0.35">
      <c r="A235" s="214"/>
      <c r="B235" s="58"/>
      <c r="C235" s="59"/>
      <c r="D235" s="215"/>
    </row>
    <row r="236" spans="1:4" x14ac:dyDescent="0.3">
      <c r="A236" s="294"/>
      <c r="B236" s="295"/>
      <c r="C236" s="295"/>
      <c r="D236" s="296"/>
    </row>
    <row r="237" spans="1:4" x14ac:dyDescent="0.3">
      <c r="A237" s="307"/>
      <c r="B237" s="308"/>
      <c r="C237" s="308"/>
      <c r="D237" s="309"/>
    </row>
    <row r="238" spans="1:4" ht="15" thickBot="1" x14ac:dyDescent="0.35">
      <c r="A238" s="307"/>
      <c r="B238" s="308"/>
      <c r="C238" s="308"/>
      <c r="D238" s="309"/>
    </row>
    <row r="239" spans="1:4" ht="25.8" thickBot="1" x14ac:dyDescent="0.35">
      <c r="A239" s="350" t="s">
        <v>0</v>
      </c>
      <c r="B239" s="351"/>
      <c r="C239" s="351"/>
      <c r="D239" s="352"/>
    </row>
    <row r="240" spans="1:4" x14ac:dyDescent="0.3">
      <c r="A240" s="11" t="s">
        <v>1</v>
      </c>
      <c r="B240" s="3" t="str">
        <f>'ROL DE AGOSTO'!D30</f>
        <v>CHALCO HURTADO WILMER HERNANDO</v>
      </c>
      <c r="C240" s="3"/>
      <c r="D240" s="12"/>
    </row>
    <row r="241" spans="1:4" x14ac:dyDescent="0.3">
      <c r="A241" s="11" t="s">
        <v>2</v>
      </c>
      <c r="B241" s="218" t="str">
        <f>'ROL DE AGOSTO'!C30</f>
        <v>0702864372</v>
      </c>
      <c r="C241" s="4"/>
      <c r="D241" s="13"/>
    </row>
    <row r="242" spans="1:4" x14ac:dyDescent="0.3">
      <c r="A242" s="11" t="s">
        <v>3</v>
      </c>
      <c r="B242" s="3" t="str">
        <f>'ROL DE AGOSTO'!E30</f>
        <v>OPERADOR EXCAVADORA</v>
      </c>
      <c r="C242" s="4"/>
      <c r="D242" s="14"/>
    </row>
    <row r="243" spans="1:4" x14ac:dyDescent="0.3">
      <c r="A243" s="11" t="s">
        <v>26</v>
      </c>
      <c r="B243" s="3">
        <f>'ROL DE AGOSTO'!A212</f>
        <v>0</v>
      </c>
      <c r="C243" s="4"/>
      <c r="D243" s="15"/>
    </row>
    <row r="244" spans="1:4" x14ac:dyDescent="0.3">
      <c r="A244" s="11" t="s">
        <v>99</v>
      </c>
      <c r="B244" s="55">
        <f>'ROL DE AGOSTO'!B211</f>
        <v>0</v>
      </c>
      <c r="C244" s="4"/>
      <c r="D244" s="15"/>
    </row>
    <row r="245" spans="1:4" x14ac:dyDescent="0.3">
      <c r="A245" s="203" t="s">
        <v>94</v>
      </c>
      <c r="B245" s="204"/>
      <c r="C245" s="205" t="s">
        <v>5</v>
      </c>
      <c r="D245" s="206" t="s">
        <v>6</v>
      </c>
    </row>
    <row r="246" spans="1:4" x14ac:dyDescent="0.3">
      <c r="A246" s="18"/>
      <c r="B246" s="6"/>
      <c r="C246" s="7"/>
      <c r="D246" s="19"/>
    </row>
    <row r="247" spans="1:4" x14ac:dyDescent="0.3">
      <c r="A247" s="26" t="s">
        <v>16</v>
      </c>
      <c r="B247" s="27"/>
      <c r="C247" s="28">
        <f>'ROL DE AGOSTO'!F30</f>
        <v>708</v>
      </c>
      <c r="D247" s="29"/>
    </row>
    <row r="248" spans="1:4" x14ac:dyDescent="0.3">
      <c r="A248" s="26" t="s">
        <v>105</v>
      </c>
      <c r="B248" s="27"/>
      <c r="C248" s="28"/>
      <c r="D248" s="29"/>
    </row>
    <row r="249" spans="1:4" x14ac:dyDescent="0.3">
      <c r="A249" s="26" t="s">
        <v>8</v>
      </c>
      <c r="B249" s="27"/>
      <c r="C249" s="28"/>
      <c r="D249" s="29"/>
    </row>
    <row r="250" spans="1:4" x14ac:dyDescent="0.3">
      <c r="A250" s="26" t="s">
        <v>9</v>
      </c>
      <c r="B250" s="27"/>
      <c r="C250" s="28"/>
      <c r="D250" s="29"/>
    </row>
    <row r="251" spans="1:4" ht="24" x14ac:dyDescent="0.3">
      <c r="A251" s="26"/>
      <c r="B251" s="27" t="s">
        <v>10</v>
      </c>
      <c r="C251" s="28"/>
      <c r="D251" s="29">
        <f>'ROL DE AGOSTO'!L30</f>
        <v>66.905999999999992</v>
      </c>
    </row>
    <row r="252" spans="1:4" ht="24" x14ac:dyDescent="0.3">
      <c r="A252" s="26"/>
      <c r="B252" s="27" t="s">
        <v>11</v>
      </c>
      <c r="C252" s="28"/>
      <c r="D252" s="29">
        <f>'ROL DE AGOSTO'!O30</f>
        <v>0</v>
      </c>
    </row>
    <row r="253" spans="1:4" x14ac:dyDescent="0.3">
      <c r="A253" s="26"/>
      <c r="B253" s="27" t="s">
        <v>55</v>
      </c>
      <c r="C253" s="28"/>
      <c r="D253" s="29">
        <f>'ROL DE AGOSTO'!S30</f>
        <v>157.33333333333334</v>
      </c>
    </row>
    <row r="254" spans="1:4" ht="24" x14ac:dyDescent="0.3">
      <c r="A254" s="26"/>
      <c r="B254" s="27" t="s">
        <v>18</v>
      </c>
      <c r="C254" s="28"/>
      <c r="D254" s="29">
        <f>'ROL DE AGOSTO'!P30</f>
        <v>0</v>
      </c>
    </row>
    <row r="255" spans="1:4" x14ac:dyDescent="0.3">
      <c r="A255" s="207"/>
      <c r="B255" s="208" t="s">
        <v>12</v>
      </c>
      <c r="C255" s="209">
        <f>SUM(C247:C254)</f>
        <v>708</v>
      </c>
      <c r="D255" s="210">
        <f>SUM(D247:D254)</f>
        <v>224.23933333333332</v>
      </c>
    </row>
    <row r="256" spans="1:4" ht="28.2" x14ac:dyDescent="0.3">
      <c r="A256" s="21"/>
      <c r="B256" s="45"/>
      <c r="C256" s="211" t="s">
        <v>13</v>
      </c>
      <c r="D256" s="212">
        <f>+C255-D255</f>
        <v>483.76066666666668</v>
      </c>
    </row>
    <row r="257" spans="1:4" ht="15" thickBot="1" x14ac:dyDescent="0.35">
      <c r="A257" s="23"/>
      <c r="B257" s="4" t="s">
        <v>14</v>
      </c>
      <c r="C257" s="2"/>
      <c r="D257" s="24"/>
    </row>
    <row r="258" spans="1:4" x14ac:dyDescent="0.3">
      <c r="A258" s="213" t="s">
        <v>28</v>
      </c>
      <c r="B258" s="213" t="s">
        <v>93</v>
      </c>
      <c r="C258" s="348" t="s">
        <v>30</v>
      </c>
      <c r="D258" s="349"/>
    </row>
    <row r="259" spans="1:4" x14ac:dyDescent="0.3">
      <c r="A259" s="37"/>
      <c r="B259" s="34"/>
      <c r="C259" s="32"/>
      <c r="D259" s="25"/>
    </row>
    <row r="260" spans="1:4" x14ac:dyDescent="0.3">
      <c r="A260" s="37"/>
      <c r="B260" s="34"/>
      <c r="C260" s="32"/>
      <c r="D260" s="25"/>
    </row>
    <row r="261" spans="1:4" x14ac:dyDescent="0.3">
      <c r="A261" s="37"/>
      <c r="B261" s="34"/>
      <c r="C261" s="32"/>
      <c r="D261" s="25"/>
    </row>
    <row r="262" spans="1:4" x14ac:dyDescent="0.3">
      <c r="A262" s="37"/>
      <c r="B262" s="34"/>
      <c r="C262" s="32"/>
      <c r="D262" s="25"/>
    </row>
    <row r="263" spans="1:4" x14ac:dyDescent="0.3">
      <c r="A263" s="37"/>
      <c r="B263" s="34"/>
      <c r="C263" s="32"/>
      <c r="D263" s="25"/>
    </row>
    <row r="264" spans="1:4" x14ac:dyDescent="0.3">
      <c r="A264" s="38" t="s">
        <v>298</v>
      </c>
      <c r="B264" s="35" t="s">
        <v>297</v>
      </c>
      <c r="C264" s="290" t="str">
        <f>B240</f>
        <v>CHALCO HURTADO WILMER HERNANDO</v>
      </c>
      <c r="D264" s="291"/>
    </row>
    <row r="265" spans="1:4" ht="15" thickBot="1" x14ac:dyDescent="0.35">
      <c r="A265" s="36" t="s">
        <v>246</v>
      </c>
      <c r="B265" s="33" t="s">
        <v>299</v>
      </c>
      <c r="C265" s="353" t="str">
        <f>B241</f>
        <v>0702864372</v>
      </c>
      <c r="D265" s="354"/>
    </row>
    <row r="273" spans="1:4" ht="15" thickBot="1" x14ac:dyDescent="0.35"/>
    <row r="274" spans="1:4" x14ac:dyDescent="0.3">
      <c r="A274" s="294"/>
      <c r="B274" s="295"/>
      <c r="C274" s="295"/>
      <c r="D274" s="296"/>
    </row>
    <row r="275" spans="1:4" x14ac:dyDescent="0.3">
      <c r="A275" s="307"/>
      <c r="B275" s="308"/>
      <c r="C275" s="308"/>
      <c r="D275" s="309"/>
    </row>
    <row r="276" spans="1:4" ht="15" thickBot="1" x14ac:dyDescent="0.35">
      <c r="A276" s="307"/>
      <c r="B276" s="308"/>
      <c r="C276" s="308"/>
      <c r="D276" s="309"/>
    </row>
    <row r="277" spans="1:4" ht="25.8" thickBot="1" x14ac:dyDescent="0.35">
      <c r="A277" s="350" t="s">
        <v>0</v>
      </c>
      <c r="B277" s="351"/>
      <c r="C277" s="351"/>
      <c r="D277" s="352"/>
    </row>
    <row r="278" spans="1:4" x14ac:dyDescent="0.3">
      <c r="A278" s="11" t="s">
        <v>1</v>
      </c>
      <c r="B278" s="3" t="str">
        <f>'ROL DE AGOSTO'!D31</f>
        <v>PAPA COQUINCHE JUAN LEVINGSTONE</v>
      </c>
      <c r="C278" s="3"/>
      <c r="D278" s="12"/>
    </row>
    <row r="279" spans="1:4" x14ac:dyDescent="0.3">
      <c r="A279" s="11" t="s">
        <v>2</v>
      </c>
      <c r="B279" s="218" t="str">
        <f>'ROL DE AGOSTO'!C31</f>
        <v>1500709041</v>
      </c>
      <c r="C279" s="4"/>
      <c r="D279" s="13"/>
    </row>
    <row r="280" spans="1:4" x14ac:dyDescent="0.3">
      <c r="A280" s="11" t="s">
        <v>3</v>
      </c>
      <c r="B280" s="3" t="str">
        <f>'ROL DE AGOSTO'!E31</f>
        <v>OPERADOR MAQUINARIA AGRICOLA</v>
      </c>
      <c r="C280" s="4"/>
      <c r="D280" s="14"/>
    </row>
    <row r="281" spans="1:4" x14ac:dyDescent="0.3">
      <c r="A281" s="11" t="s">
        <v>26</v>
      </c>
      <c r="B281" s="3" t="str">
        <f>'ROL DE AGOSTO'!A31</f>
        <v>AGOSTO</v>
      </c>
      <c r="C281" s="4"/>
      <c r="D281" s="15"/>
    </row>
    <row r="282" spans="1:4" x14ac:dyDescent="0.3">
      <c r="A282" s="11" t="s">
        <v>99</v>
      </c>
      <c r="B282" s="55">
        <f>'ROL DE AGOSTO'!B31</f>
        <v>2023</v>
      </c>
      <c r="C282" s="4"/>
      <c r="D282" s="15"/>
    </row>
    <row r="283" spans="1:4" x14ac:dyDescent="0.3">
      <c r="A283" s="203" t="s">
        <v>94</v>
      </c>
      <c r="B283" s="204"/>
      <c r="C283" s="205" t="s">
        <v>5</v>
      </c>
      <c r="D283" s="206" t="s">
        <v>6</v>
      </c>
    </row>
    <row r="284" spans="1:4" x14ac:dyDescent="0.3">
      <c r="A284" s="18"/>
      <c r="B284" s="6"/>
      <c r="C284" s="7"/>
      <c r="D284" s="19"/>
    </row>
    <row r="285" spans="1:4" x14ac:dyDescent="0.3">
      <c r="A285" s="26" t="s">
        <v>16</v>
      </c>
      <c r="B285" s="27"/>
      <c r="C285" s="28">
        <f>'ROL DE AGOSTO'!F31</f>
        <v>566</v>
      </c>
      <c r="D285" s="29"/>
    </row>
    <row r="286" spans="1:4" x14ac:dyDescent="0.3">
      <c r="A286" s="26" t="s">
        <v>105</v>
      </c>
      <c r="B286" s="27"/>
      <c r="C286" s="28"/>
      <c r="D286" s="29"/>
    </row>
    <row r="287" spans="1:4" x14ac:dyDescent="0.3">
      <c r="A287" s="26" t="s">
        <v>8</v>
      </c>
      <c r="B287" s="27"/>
      <c r="C287" s="28"/>
      <c r="D287" s="29"/>
    </row>
    <row r="288" spans="1:4" x14ac:dyDescent="0.3">
      <c r="A288" s="26" t="s">
        <v>9</v>
      </c>
      <c r="B288" s="27"/>
      <c r="C288" s="28"/>
      <c r="D288" s="29"/>
    </row>
    <row r="289" spans="1:4" ht="24" x14ac:dyDescent="0.3">
      <c r="A289" s="26"/>
      <c r="B289" s="27" t="s">
        <v>10</v>
      </c>
      <c r="C289" s="28"/>
      <c r="D289" s="29">
        <f>'ROL DE AGOSTO'!L31</f>
        <v>53.486999999999995</v>
      </c>
    </row>
    <row r="290" spans="1:4" ht="24" x14ac:dyDescent="0.3">
      <c r="A290" s="26"/>
      <c r="B290" s="27" t="s">
        <v>11</v>
      </c>
      <c r="C290" s="28"/>
      <c r="D290" s="29">
        <f>'ROL DE AGOSTO'!O31</f>
        <v>89.85</v>
      </c>
    </row>
    <row r="291" spans="1:4" x14ac:dyDescent="0.3">
      <c r="A291" s="26"/>
      <c r="B291" s="27" t="s">
        <v>55</v>
      </c>
      <c r="C291" s="28"/>
      <c r="D291" s="29">
        <f>'ROL DE AGOSTO'!S31</f>
        <v>283</v>
      </c>
    </row>
    <row r="292" spans="1:4" ht="24" x14ac:dyDescent="0.3">
      <c r="A292" s="26"/>
      <c r="B292" s="27" t="s">
        <v>18</v>
      </c>
      <c r="C292" s="28"/>
      <c r="D292" s="29">
        <f>'ROL DE AGOSTO'!P31</f>
        <v>0</v>
      </c>
    </row>
    <row r="293" spans="1:4" x14ac:dyDescent="0.3">
      <c r="A293" s="207"/>
      <c r="B293" s="208" t="s">
        <v>12</v>
      </c>
      <c r="C293" s="209">
        <f>SUM(C285:C292)</f>
        <v>566</v>
      </c>
      <c r="D293" s="210">
        <f>SUM(D285:D292)</f>
        <v>426.33699999999999</v>
      </c>
    </row>
    <row r="294" spans="1:4" ht="28.2" x14ac:dyDescent="0.3">
      <c r="A294" s="21"/>
      <c r="B294" s="45"/>
      <c r="C294" s="211" t="s">
        <v>13</v>
      </c>
      <c r="D294" s="212">
        <f>+C293-D293</f>
        <v>139.66300000000001</v>
      </c>
    </row>
    <row r="295" spans="1:4" ht="15" thickBot="1" x14ac:dyDescent="0.35">
      <c r="A295" s="23"/>
      <c r="B295" s="4" t="s">
        <v>14</v>
      </c>
      <c r="C295" s="2"/>
      <c r="D295" s="24"/>
    </row>
    <row r="296" spans="1:4" x14ac:dyDescent="0.3">
      <c r="A296" s="213" t="s">
        <v>28</v>
      </c>
      <c r="B296" s="213" t="s">
        <v>93</v>
      </c>
      <c r="C296" s="348" t="s">
        <v>30</v>
      </c>
      <c r="D296" s="349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7"/>
      <c r="B299" s="34"/>
      <c r="C299" s="32"/>
      <c r="D299" s="25"/>
    </row>
    <row r="300" spans="1:4" x14ac:dyDescent="0.3">
      <c r="A300" s="37"/>
      <c r="B300" s="34"/>
      <c r="C300" s="32"/>
      <c r="D300" s="25"/>
    </row>
    <row r="301" spans="1:4" x14ac:dyDescent="0.3">
      <c r="A301" s="37"/>
      <c r="B301" s="34"/>
      <c r="C301" s="32"/>
      <c r="D301" s="25"/>
    </row>
    <row r="302" spans="1:4" x14ac:dyDescent="0.3">
      <c r="A302" s="38" t="s">
        <v>298</v>
      </c>
      <c r="B302" s="35" t="s">
        <v>297</v>
      </c>
      <c r="C302" s="290" t="str">
        <f>'ROL INDIVIDUAL'!B278</f>
        <v>PAPA COQUINCHE JUAN LEVINGSTONE</v>
      </c>
      <c r="D302" s="291"/>
    </row>
    <row r="303" spans="1:4" ht="15" thickBot="1" x14ac:dyDescent="0.35">
      <c r="A303" s="36" t="s">
        <v>246</v>
      </c>
      <c r="B303" s="33" t="s">
        <v>299</v>
      </c>
      <c r="C303" s="353" t="str">
        <f>B279</f>
        <v>1500709041</v>
      </c>
      <c r="D303" s="354"/>
    </row>
    <row r="304" spans="1:4" x14ac:dyDescent="0.3">
      <c r="A304" s="214"/>
      <c r="B304" s="58"/>
      <c r="C304" s="59"/>
      <c r="D304" s="215"/>
    </row>
    <row r="305" spans="1:4" ht="15" thickBot="1" x14ac:dyDescent="0.35">
      <c r="A305" s="214"/>
      <c r="B305" s="58"/>
      <c r="C305" s="59"/>
      <c r="D305" s="215"/>
    </row>
    <row r="306" spans="1:4" x14ac:dyDescent="0.3">
      <c r="A306" s="294"/>
      <c r="B306" s="295"/>
      <c r="C306" s="295"/>
      <c r="D306" s="296"/>
    </row>
    <row r="307" spans="1:4" x14ac:dyDescent="0.3">
      <c r="A307" s="307"/>
      <c r="B307" s="308"/>
      <c r="C307" s="308"/>
      <c r="D307" s="309"/>
    </row>
    <row r="308" spans="1:4" ht="15" thickBot="1" x14ac:dyDescent="0.35">
      <c r="A308" s="307"/>
      <c r="B308" s="308"/>
      <c r="C308" s="308"/>
      <c r="D308" s="309"/>
    </row>
    <row r="309" spans="1:4" ht="25.8" thickBot="1" x14ac:dyDescent="0.35">
      <c r="A309" s="350" t="s">
        <v>0</v>
      </c>
      <c r="B309" s="351"/>
      <c r="C309" s="351"/>
      <c r="D309" s="352"/>
    </row>
    <row r="310" spans="1:4" x14ac:dyDescent="0.3">
      <c r="A310" s="11" t="s">
        <v>1</v>
      </c>
      <c r="B310" s="3" t="str">
        <f>'ROL DE AGOSTO'!D32</f>
        <v>VASQUEZ PUETATE XAVIER IVAN</v>
      </c>
      <c r="C310" s="3"/>
      <c r="D310" s="12"/>
    </row>
    <row r="311" spans="1:4" x14ac:dyDescent="0.3">
      <c r="A311" s="11" t="s">
        <v>2</v>
      </c>
      <c r="B311" s="218" t="str">
        <f>'ROL DE AGOSTO'!C32</f>
        <v>1712044146</v>
      </c>
      <c r="C311" s="4"/>
      <c r="D311" s="13"/>
    </row>
    <row r="312" spans="1:4" x14ac:dyDescent="0.3">
      <c r="A312" s="11" t="s">
        <v>3</v>
      </c>
      <c r="B312" s="3" t="str">
        <f>'ROL DE AGOSTO'!E32</f>
        <v>CONDUCTOR</v>
      </c>
      <c r="C312" s="4"/>
      <c r="D312" s="14"/>
    </row>
    <row r="313" spans="1:4" x14ac:dyDescent="0.3">
      <c r="A313" s="11" t="s">
        <v>26</v>
      </c>
      <c r="B313" s="3" t="str">
        <f>'ROL DE AGOSTO'!A32</f>
        <v>AGOSTO</v>
      </c>
      <c r="C313" s="4"/>
      <c r="D313" s="15"/>
    </row>
    <row r="314" spans="1:4" x14ac:dyDescent="0.3">
      <c r="A314" s="11" t="s">
        <v>99</v>
      </c>
      <c r="B314" s="55">
        <f>'ROL DE AGOSTO'!B32</f>
        <v>2023</v>
      </c>
      <c r="C314" s="4"/>
      <c r="D314" s="15"/>
    </row>
    <row r="315" spans="1:4" x14ac:dyDescent="0.3">
      <c r="A315" s="203" t="s">
        <v>94</v>
      </c>
      <c r="B315" s="204"/>
      <c r="C315" s="205" t="s">
        <v>5</v>
      </c>
      <c r="D315" s="206" t="s">
        <v>6</v>
      </c>
    </row>
    <row r="316" spans="1:4" x14ac:dyDescent="0.3">
      <c r="A316" s="18"/>
      <c r="B316" s="6"/>
      <c r="C316" s="7"/>
      <c r="D316" s="19"/>
    </row>
    <row r="317" spans="1:4" x14ac:dyDescent="0.3">
      <c r="A317" s="26" t="s">
        <v>16</v>
      </c>
      <c r="B317" s="27"/>
      <c r="C317" s="28">
        <f>'ROL DE AGOSTO'!F32</f>
        <v>584</v>
      </c>
      <c r="D317" s="29"/>
    </row>
    <row r="318" spans="1:4" x14ac:dyDescent="0.3">
      <c r="A318" s="26" t="s">
        <v>105</v>
      </c>
      <c r="B318" s="27"/>
      <c r="C318" s="28"/>
      <c r="D318" s="29"/>
    </row>
    <row r="319" spans="1:4" x14ac:dyDescent="0.3">
      <c r="A319" s="26" t="s">
        <v>8</v>
      </c>
      <c r="B319" s="27"/>
      <c r="C319" s="28"/>
      <c r="D319" s="29"/>
    </row>
    <row r="320" spans="1:4" x14ac:dyDescent="0.3">
      <c r="A320" s="26" t="s">
        <v>9</v>
      </c>
      <c r="B320" s="27"/>
      <c r="C320" s="28"/>
      <c r="D320" s="29"/>
    </row>
    <row r="321" spans="1:4" ht="24" x14ac:dyDescent="0.3">
      <c r="A321" s="26"/>
      <c r="B321" s="27" t="s">
        <v>10</v>
      </c>
      <c r="C321" s="28"/>
      <c r="D321" s="29">
        <f>'ROL DE AGOSTO'!L32</f>
        <v>55.187999999999995</v>
      </c>
    </row>
    <row r="322" spans="1:4" ht="24" x14ac:dyDescent="0.3">
      <c r="A322" s="26"/>
      <c r="B322" s="27" t="s">
        <v>307</v>
      </c>
      <c r="C322" s="28"/>
      <c r="D322" s="29">
        <f>'ROL DE AGOSTO'!O32</f>
        <v>70.42</v>
      </c>
    </row>
    <row r="323" spans="1:4" x14ac:dyDescent="0.3">
      <c r="A323" s="26"/>
      <c r="B323" s="27" t="s">
        <v>55</v>
      </c>
      <c r="C323" s="28"/>
      <c r="D323" s="29">
        <f>'ROL DE AGOSTO'!S32</f>
        <v>292</v>
      </c>
    </row>
    <row r="324" spans="1:4" x14ac:dyDescent="0.3">
      <c r="A324" s="26"/>
      <c r="B324" s="27" t="s">
        <v>306</v>
      </c>
      <c r="C324" s="28"/>
      <c r="D324" s="29">
        <f>'ROL DE AGOSTO'!Q32</f>
        <v>66.75</v>
      </c>
    </row>
    <row r="325" spans="1:4" x14ac:dyDescent="0.3">
      <c r="A325" s="207"/>
      <c r="B325" s="208" t="s">
        <v>12</v>
      </c>
      <c r="C325" s="209">
        <f>SUM(C317:C324)</f>
        <v>584</v>
      </c>
      <c r="D325" s="210">
        <f>SUM(D317:D324)</f>
        <v>484.358</v>
      </c>
    </row>
    <row r="326" spans="1:4" ht="28.2" x14ac:dyDescent="0.3">
      <c r="A326" s="21"/>
      <c r="B326" s="45"/>
      <c r="C326" s="211" t="s">
        <v>13</v>
      </c>
      <c r="D326" s="212">
        <f>+C325-D325</f>
        <v>99.641999999999996</v>
      </c>
    </row>
    <row r="327" spans="1:4" ht="15" thickBot="1" x14ac:dyDescent="0.35">
      <c r="A327" s="23"/>
      <c r="B327" s="4" t="s">
        <v>14</v>
      </c>
      <c r="C327" s="2"/>
      <c r="D327" s="24"/>
    </row>
    <row r="328" spans="1:4" x14ac:dyDescent="0.3">
      <c r="A328" s="213" t="s">
        <v>28</v>
      </c>
      <c r="B328" s="213" t="s">
        <v>93</v>
      </c>
      <c r="C328" s="348" t="s">
        <v>30</v>
      </c>
      <c r="D328" s="349"/>
    </row>
    <row r="329" spans="1:4" x14ac:dyDescent="0.3">
      <c r="A329" s="37"/>
      <c r="B329" s="34"/>
      <c r="C329" s="32"/>
      <c r="D329" s="25"/>
    </row>
    <row r="330" spans="1:4" x14ac:dyDescent="0.3">
      <c r="A330" s="37"/>
      <c r="B330" s="34"/>
      <c r="C330" s="32"/>
      <c r="D330" s="25"/>
    </row>
    <row r="331" spans="1:4" x14ac:dyDescent="0.3">
      <c r="A331" s="37"/>
      <c r="B331" s="34"/>
      <c r="C331" s="32"/>
      <c r="D331" s="25"/>
    </row>
    <row r="332" spans="1:4" x14ac:dyDescent="0.3">
      <c r="A332" s="37"/>
      <c r="B332" s="34"/>
      <c r="C332" s="32"/>
      <c r="D332" s="25"/>
    </row>
    <row r="333" spans="1:4" x14ac:dyDescent="0.3">
      <c r="A333" s="37"/>
      <c r="B333" s="34"/>
      <c r="C333" s="32"/>
      <c r="D333" s="25"/>
    </row>
    <row r="334" spans="1:4" x14ac:dyDescent="0.3">
      <c r="A334" s="38" t="s">
        <v>298</v>
      </c>
      <c r="B334" s="35" t="s">
        <v>297</v>
      </c>
      <c r="C334" s="290" t="str">
        <f>B310</f>
        <v>VASQUEZ PUETATE XAVIER IVAN</v>
      </c>
      <c r="D334" s="291"/>
    </row>
    <row r="335" spans="1:4" ht="15" thickBot="1" x14ac:dyDescent="0.35">
      <c r="A335" s="36" t="s">
        <v>246</v>
      </c>
      <c r="B335" s="33" t="s">
        <v>299</v>
      </c>
      <c r="C335" s="353" t="str">
        <f>B311</f>
        <v>1712044146</v>
      </c>
      <c r="D335" s="354"/>
    </row>
    <row r="343" spans="1:4" ht="15" thickBot="1" x14ac:dyDescent="0.35"/>
    <row r="344" spans="1:4" x14ac:dyDescent="0.3">
      <c r="A344" s="294"/>
      <c r="B344" s="295"/>
      <c r="C344" s="295"/>
      <c r="D344" s="296"/>
    </row>
    <row r="345" spans="1:4" x14ac:dyDescent="0.3">
      <c r="A345" s="307"/>
      <c r="B345" s="308"/>
      <c r="C345" s="308"/>
      <c r="D345" s="309"/>
    </row>
    <row r="346" spans="1:4" ht="15" thickBot="1" x14ac:dyDescent="0.35">
      <c r="A346" s="307"/>
      <c r="B346" s="308"/>
      <c r="C346" s="308"/>
      <c r="D346" s="309"/>
    </row>
    <row r="347" spans="1:4" ht="25.8" thickBot="1" x14ac:dyDescent="0.35">
      <c r="A347" s="350" t="s">
        <v>0</v>
      </c>
      <c r="B347" s="351"/>
      <c r="C347" s="351"/>
      <c r="D347" s="352"/>
    </row>
    <row r="348" spans="1:4" x14ac:dyDescent="0.3">
      <c r="A348" s="11" t="s">
        <v>1</v>
      </c>
      <c r="B348" s="3" t="str">
        <f>'ROL DE AGOSTO'!D33</f>
        <v>VELEZ MOREIRA HECTOR ANTONIO</v>
      </c>
      <c r="C348" s="3"/>
      <c r="D348" s="12"/>
    </row>
    <row r="349" spans="1:4" x14ac:dyDescent="0.3">
      <c r="A349" s="11" t="s">
        <v>2</v>
      </c>
      <c r="B349" s="55" t="str">
        <f>'ROL DE AGOSTO'!C33</f>
        <v>1308691953</v>
      </c>
      <c r="C349" s="4"/>
      <c r="D349" s="13"/>
    </row>
    <row r="350" spans="1:4" x14ac:dyDescent="0.3">
      <c r="A350" s="11" t="s">
        <v>3</v>
      </c>
      <c r="B350" s="3" t="str">
        <f>'ROL DE AGOSTO'!E33</f>
        <v>TRABAJADOR AMBIENTAL</v>
      </c>
      <c r="C350" s="4"/>
      <c r="D350" s="14"/>
    </row>
    <row r="351" spans="1:4" x14ac:dyDescent="0.3">
      <c r="A351" s="11" t="s">
        <v>26</v>
      </c>
      <c r="B351" s="3" t="str">
        <f>'ROL DE AGOSTO'!A33</f>
        <v>AGOSTO</v>
      </c>
      <c r="C351" s="4"/>
      <c r="D351" s="15"/>
    </row>
    <row r="352" spans="1:4" x14ac:dyDescent="0.3">
      <c r="A352" s="11" t="s">
        <v>99</v>
      </c>
      <c r="B352" s="55">
        <f>'ROL DE AGOSTO'!B33</f>
        <v>2023</v>
      </c>
      <c r="C352" s="4"/>
      <c r="D352" s="15"/>
    </row>
    <row r="353" spans="1:4" x14ac:dyDescent="0.3">
      <c r="A353" s="203" t="s">
        <v>94</v>
      </c>
      <c r="B353" s="204"/>
      <c r="C353" s="205" t="s">
        <v>5</v>
      </c>
      <c r="D353" s="206" t="s">
        <v>6</v>
      </c>
    </row>
    <row r="354" spans="1:4" x14ac:dyDescent="0.3">
      <c r="A354" s="18"/>
      <c r="B354" s="6"/>
      <c r="C354" s="7"/>
      <c r="D354" s="19"/>
    </row>
    <row r="355" spans="1:4" x14ac:dyDescent="0.3">
      <c r="A355" s="26" t="s">
        <v>16</v>
      </c>
      <c r="B355" s="27"/>
      <c r="C355" s="28">
        <f>'ROL DE AGOSTO'!F33</f>
        <v>527</v>
      </c>
      <c r="D355" s="29"/>
    </row>
    <row r="356" spans="1:4" x14ac:dyDescent="0.3">
      <c r="A356" s="26" t="s">
        <v>105</v>
      </c>
      <c r="B356" s="27"/>
      <c r="C356" s="28"/>
      <c r="D356" s="29"/>
    </row>
    <row r="357" spans="1:4" x14ac:dyDescent="0.3">
      <c r="A357" s="26" t="s">
        <v>8</v>
      </c>
      <c r="B357" s="27"/>
      <c r="C357" s="28"/>
      <c r="D357" s="29"/>
    </row>
    <row r="358" spans="1:4" x14ac:dyDescent="0.3">
      <c r="A358" s="26" t="s">
        <v>9</v>
      </c>
      <c r="B358" s="27"/>
      <c r="C358" s="28"/>
      <c r="D358" s="29"/>
    </row>
    <row r="359" spans="1:4" ht="24" x14ac:dyDescent="0.3">
      <c r="A359" s="26"/>
      <c r="B359" s="27" t="s">
        <v>10</v>
      </c>
      <c r="C359" s="28"/>
      <c r="D359" s="29">
        <f>'ROL DE AGOSTO'!L33</f>
        <v>49.80149999999999</v>
      </c>
    </row>
    <row r="360" spans="1:4" ht="24" x14ac:dyDescent="0.3">
      <c r="A360" s="26"/>
      <c r="B360" s="27" t="s">
        <v>11</v>
      </c>
      <c r="C360" s="28"/>
      <c r="D360" s="29">
        <f>'ROL DE AGOSTO'!O33</f>
        <v>0</v>
      </c>
    </row>
    <row r="361" spans="1:4" x14ac:dyDescent="0.3">
      <c r="A361" s="26"/>
      <c r="B361" s="27" t="s">
        <v>55</v>
      </c>
      <c r="C361" s="28"/>
      <c r="D361" s="29">
        <f>'ROL DE AGOSTO'!S33</f>
        <v>225.85714285714286</v>
      </c>
    </row>
    <row r="362" spans="1:4" ht="24" x14ac:dyDescent="0.3">
      <c r="A362" s="26"/>
      <c r="B362" s="27" t="s">
        <v>18</v>
      </c>
      <c r="C362" s="28"/>
      <c r="D362" s="29">
        <f>'ROL DE AGOSTO'!P33</f>
        <v>0</v>
      </c>
    </row>
    <row r="363" spans="1:4" x14ac:dyDescent="0.3">
      <c r="A363" s="207"/>
      <c r="B363" s="208" t="s">
        <v>12</v>
      </c>
      <c r="C363" s="209">
        <f>SUM(C355:C362)</f>
        <v>527</v>
      </c>
      <c r="D363" s="210">
        <f>SUM(D355:D362)</f>
        <v>275.65864285714287</v>
      </c>
    </row>
    <row r="364" spans="1:4" ht="28.2" x14ac:dyDescent="0.3">
      <c r="A364" s="21"/>
      <c r="B364" s="45"/>
      <c r="C364" s="211" t="s">
        <v>13</v>
      </c>
      <c r="D364" s="212">
        <f>+C363-D363</f>
        <v>251.34135714285713</v>
      </c>
    </row>
    <row r="365" spans="1:4" ht="15" thickBot="1" x14ac:dyDescent="0.35">
      <c r="A365" s="23"/>
      <c r="B365" s="4" t="s">
        <v>14</v>
      </c>
      <c r="C365" s="2"/>
      <c r="D365" s="24"/>
    </row>
    <row r="366" spans="1:4" x14ac:dyDescent="0.3">
      <c r="A366" s="213" t="s">
        <v>28</v>
      </c>
      <c r="B366" s="213" t="s">
        <v>93</v>
      </c>
      <c r="C366" s="348" t="s">
        <v>30</v>
      </c>
      <c r="D366" s="349"/>
    </row>
    <row r="367" spans="1:4" x14ac:dyDescent="0.3">
      <c r="A367" s="37"/>
      <c r="B367" s="34"/>
      <c r="C367" s="32"/>
      <c r="D367" s="25"/>
    </row>
    <row r="368" spans="1:4" x14ac:dyDescent="0.3">
      <c r="A368" s="37"/>
      <c r="B368" s="34"/>
      <c r="C368" s="32"/>
      <c r="D368" s="25"/>
    </row>
    <row r="369" spans="1:4" x14ac:dyDescent="0.3">
      <c r="A369" s="37"/>
      <c r="B369" s="34"/>
      <c r="C369" s="32"/>
      <c r="D369" s="25"/>
    </row>
    <row r="370" spans="1:4" x14ac:dyDescent="0.3">
      <c r="A370" s="37"/>
      <c r="B370" s="34"/>
      <c r="C370" s="32"/>
      <c r="D370" s="25"/>
    </row>
    <row r="371" spans="1:4" x14ac:dyDescent="0.3">
      <c r="A371" s="37"/>
      <c r="B371" s="34"/>
      <c r="C371" s="32"/>
      <c r="D371" s="25"/>
    </row>
    <row r="372" spans="1:4" x14ac:dyDescent="0.3">
      <c r="A372" s="38" t="s">
        <v>298</v>
      </c>
      <c r="B372" s="35" t="s">
        <v>297</v>
      </c>
      <c r="C372" s="290" t="str">
        <f>'ROL INDIVIDUAL'!B348</f>
        <v>VELEZ MOREIRA HECTOR ANTONIO</v>
      </c>
      <c r="D372" s="291"/>
    </row>
    <row r="373" spans="1:4" ht="15" thickBot="1" x14ac:dyDescent="0.35">
      <c r="A373" s="36" t="s">
        <v>246</v>
      </c>
      <c r="B373" s="33" t="s">
        <v>299</v>
      </c>
      <c r="C373" s="353" t="str">
        <f>B349</f>
        <v>1308691953</v>
      </c>
      <c r="D373" s="354"/>
    </row>
    <row r="374" spans="1:4" x14ac:dyDescent="0.3">
      <c r="A374" s="214"/>
      <c r="B374" s="58"/>
      <c r="C374" s="59"/>
      <c r="D374" s="215"/>
    </row>
    <row r="375" spans="1:4" ht="15" thickBot="1" x14ac:dyDescent="0.35">
      <c r="A375" s="214"/>
      <c r="B375" s="58"/>
      <c r="C375" s="59"/>
      <c r="D375" s="215"/>
    </row>
    <row r="376" spans="1:4" x14ac:dyDescent="0.3">
      <c r="A376" s="294"/>
      <c r="B376" s="295"/>
      <c r="C376" s="295"/>
      <c r="D376" s="296"/>
    </row>
    <row r="377" spans="1:4" x14ac:dyDescent="0.3">
      <c r="A377" s="307"/>
      <c r="B377" s="308"/>
      <c r="C377" s="308"/>
      <c r="D377" s="309"/>
    </row>
    <row r="378" spans="1:4" ht="15" thickBot="1" x14ac:dyDescent="0.35">
      <c r="A378" s="307"/>
      <c r="B378" s="308"/>
      <c r="C378" s="308"/>
      <c r="D378" s="309"/>
    </row>
    <row r="379" spans="1:4" ht="25.8" thickBot="1" x14ac:dyDescent="0.35">
      <c r="A379" s="350" t="s">
        <v>0</v>
      </c>
      <c r="B379" s="351"/>
      <c r="C379" s="351"/>
      <c r="D379" s="352"/>
    </row>
    <row r="380" spans="1:4" x14ac:dyDescent="0.3">
      <c r="A380" s="11" t="s">
        <v>1</v>
      </c>
      <c r="B380" s="3" t="str">
        <f>'ROL DE AGOSTO'!D34</f>
        <v>VILLEGAS CARVAJAL JESUS JOSE</v>
      </c>
      <c r="C380" s="3"/>
      <c r="D380" s="12"/>
    </row>
    <row r="381" spans="1:4" x14ac:dyDescent="0.3">
      <c r="A381" s="11" t="s">
        <v>2</v>
      </c>
      <c r="B381" s="218" t="str">
        <f>'ROL DE AGOSTO'!C34</f>
        <v>2200590038</v>
      </c>
      <c r="C381" s="4"/>
      <c r="D381" s="13"/>
    </row>
    <row r="382" spans="1:4" x14ac:dyDescent="0.3">
      <c r="A382" s="11" t="s">
        <v>3</v>
      </c>
      <c r="B382" s="3" t="str">
        <f>'ROL DE AGOSTO'!E34</f>
        <v>GUARDIA</v>
      </c>
      <c r="C382" s="4"/>
      <c r="D382" s="14"/>
    </row>
    <row r="383" spans="1:4" x14ac:dyDescent="0.3">
      <c r="A383" s="11" t="s">
        <v>26</v>
      </c>
      <c r="B383" s="3" t="str">
        <f>'ROL DE AGOSTO'!A34</f>
        <v>AGOSTO</v>
      </c>
      <c r="C383" s="4"/>
      <c r="D383" s="15"/>
    </row>
    <row r="384" spans="1:4" x14ac:dyDescent="0.3">
      <c r="A384" s="11" t="s">
        <v>99</v>
      </c>
      <c r="B384" s="55">
        <f>'ROL DE AGOSTO'!B34</f>
        <v>2023</v>
      </c>
      <c r="C384" s="4"/>
      <c r="D384" s="15"/>
    </row>
    <row r="385" spans="1:4" x14ac:dyDescent="0.3">
      <c r="A385" s="203" t="s">
        <v>94</v>
      </c>
      <c r="B385" s="204"/>
      <c r="C385" s="205" t="s">
        <v>5</v>
      </c>
      <c r="D385" s="206" t="s">
        <v>6</v>
      </c>
    </row>
    <row r="386" spans="1:4" x14ac:dyDescent="0.3">
      <c r="A386" s="18"/>
      <c r="B386" s="6"/>
      <c r="C386" s="7"/>
      <c r="D386" s="19"/>
    </row>
    <row r="387" spans="1:4" x14ac:dyDescent="0.3">
      <c r="A387" s="26" t="s">
        <v>16</v>
      </c>
      <c r="B387" s="27"/>
      <c r="C387" s="28">
        <f>'ROL DE AGOSTO'!F34</f>
        <v>500</v>
      </c>
      <c r="D387" s="29"/>
    </row>
    <row r="388" spans="1:4" x14ac:dyDescent="0.3">
      <c r="A388" s="26" t="s">
        <v>105</v>
      </c>
      <c r="B388" s="27"/>
      <c r="C388" s="28"/>
      <c r="D388" s="29"/>
    </row>
    <row r="389" spans="1:4" x14ac:dyDescent="0.3">
      <c r="A389" s="26" t="s">
        <v>8</v>
      </c>
      <c r="B389" s="27"/>
      <c r="C389" s="28"/>
      <c r="D389" s="29"/>
    </row>
    <row r="390" spans="1:4" x14ac:dyDescent="0.3">
      <c r="A390" s="26" t="s">
        <v>9</v>
      </c>
      <c r="B390" s="27"/>
      <c r="C390" s="28"/>
      <c r="D390" s="29"/>
    </row>
    <row r="391" spans="1:4" ht="24" x14ac:dyDescent="0.3">
      <c r="A391" s="26"/>
      <c r="B391" s="27" t="s">
        <v>10</v>
      </c>
      <c r="C391" s="28"/>
      <c r="D391" s="29">
        <f>'ROL DE AGOSTO'!L34</f>
        <v>47.249999999999993</v>
      </c>
    </row>
    <row r="392" spans="1:4" ht="24" x14ac:dyDescent="0.3">
      <c r="A392" s="26"/>
      <c r="B392" s="27" t="s">
        <v>11</v>
      </c>
      <c r="C392" s="28"/>
      <c r="D392" s="29">
        <f>'ROL DE AGOSTO'!O34</f>
        <v>29.04</v>
      </c>
    </row>
    <row r="393" spans="1:4" x14ac:dyDescent="0.3">
      <c r="A393" s="26"/>
      <c r="B393" s="27" t="s">
        <v>55</v>
      </c>
      <c r="C393" s="28"/>
      <c r="D393" s="29">
        <f>'ROL DE AGOSTO'!S34</f>
        <v>203.9</v>
      </c>
    </row>
    <row r="394" spans="1:4" ht="24" x14ac:dyDescent="0.3">
      <c r="A394" s="26"/>
      <c r="B394" s="27" t="s">
        <v>18</v>
      </c>
      <c r="C394" s="28"/>
      <c r="D394" s="29">
        <f>'ROL DE AGOSTO'!P34</f>
        <v>0</v>
      </c>
    </row>
    <row r="395" spans="1:4" x14ac:dyDescent="0.3">
      <c r="A395" s="207"/>
      <c r="B395" s="208" t="s">
        <v>12</v>
      </c>
      <c r="C395" s="209">
        <f>SUM(C387:C394)</f>
        <v>500</v>
      </c>
      <c r="D395" s="210">
        <f>SUM(D387:D394)</f>
        <v>280.19</v>
      </c>
    </row>
    <row r="396" spans="1:4" ht="28.2" x14ac:dyDescent="0.3">
      <c r="A396" s="21"/>
      <c r="B396" s="45"/>
      <c r="C396" s="211" t="s">
        <v>13</v>
      </c>
      <c r="D396" s="212">
        <f>+C395-D395</f>
        <v>219.81</v>
      </c>
    </row>
    <row r="397" spans="1:4" ht="15" thickBot="1" x14ac:dyDescent="0.35">
      <c r="A397" s="23"/>
      <c r="B397" s="4" t="s">
        <v>14</v>
      </c>
      <c r="C397" s="2"/>
      <c r="D397" s="24"/>
    </row>
    <row r="398" spans="1:4" x14ac:dyDescent="0.3">
      <c r="A398" s="213" t="s">
        <v>28</v>
      </c>
      <c r="B398" s="213" t="s">
        <v>93</v>
      </c>
      <c r="C398" s="348" t="s">
        <v>30</v>
      </c>
      <c r="D398" s="349"/>
    </row>
    <row r="399" spans="1:4" x14ac:dyDescent="0.3">
      <c r="A399" s="37"/>
      <c r="B399" s="34"/>
      <c r="C399" s="32"/>
      <c r="D399" s="25"/>
    </row>
    <row r="400" spans="1:4" x14ac:dyDescent="0.3">
      <c r="A400" s="37"/>
      <c r="B400" s="34"/>
      <c r="C400" s="32"/>
      <c r="D400" s="25"/>
    </row>
    <row r="401" spans="1:4" x14ac:dyDescent="0.3">
      <c r="A401" s="37"/>
      <c r="B401" s="34"/>
      <c r="C401" s="32"/>
      <c r="D401" s="25"/>
    </row>
    <row r="402" spans="1:4" x14ac:dyDescent="0.3">
      <c r="A402" s="37"/>
      <c r="B402" s="34"/>
      <c r="C402" s="32"/>
      <c r="D402" s="25"/>
    </row>
    <row r="403" spans="1:4" x14ac:dyDescent="0.3">
      <c r="A403" s="37"/>
      <c r="B403" s="34"/>
      <c r="C403" s="32"/>
      <c r="D403" s="25"/>
    </row>
    <row r="404" spans="1:4" x14ac:dyDescent="0.3">
      <c r="A404" s="38" t="s">
        <v>298</v>
      </c>
      <c r="B404" s="35" t="s">
        <v>297</v>
      </c>
      <c r="C404" s="290" t="str">
        <f>B380</f>
        <v>VILLEGAS CARVAJAL JESUS JOSE</v>
      </c>
      <c r="D404" s="291"/>
    </row>
    <row r="405" spans="1:4" ht="15" thickBot="1" x14ac:dyDescent="0.35">
      <c r="A405" s="36" t="s">
        <v>246</v>
      </c>
      <c r="B405" s="33" t="s">
        <v>299</v>
      </c>
      <c r="C405" s="353" t="str">
        <f>B381</f>
        <v>2200590038</v>
      </c>
      <c r="D405" s="354"/>
    </row>
    <row r="413" spans="1:4" ht="15" thickBot="1" x14ac:dyDescent="0.35"/>
    <row r="414" spans="1:4" x14ac:dyDescent="0.3">
      <c r="A414" s="294"/>
      <c r="B414" s="295"/>
      <c r="C414" s="295"/>
      <c r="D414" s="296"/>
    </row>
    <row r="415" spans="1:4" x14ac:dyDescent="0.3">
      <c r="A415" s="307"/>
      <c r="B415" s="308"/>
      <c r="C415" s="308"/>
      <c r="D415" s="309"/>
    </row>
    <row r="416" spans="1:4" ht="15" thickBot="1" x14ac:dyDescent="0.35">
      <c r="A416" s="307"/>
      <c r="B416" s="308"/>
      <c r="C416" s="308"/>
      <c r="D416" s="309"/>
    </row>
    <row r="417" spans="1:4" ht="25.8" thickBot="1" x14ac:dyDescent="0.35">
      <c r="A417" s="350" t="s">
        <v>0</v>
      </c>
      <c r="B417" s="351"/>
      <c r="C417" s="351"/>
      <c r="D417" s="352"/>
    </row>
    <row r="418" spans="1:4" x14ac:dyDescent="0.3">
      <c r="A418" s="11" t="s">
        <v>1</v>
      </c>
      <c r="B418" s="3" t="str">
        <f>'ROL DE AGOSTO'!D35</f>
        <v>ZAMORA MACIAS RAMON CRISTOBAL</v>
      </c>
      <c r="C418" s="3"/>
      <c r="D418" s="12"/>
    </row>
    <row r="419" spans="1:4" x14ac:dyDescent="0.3">
      <c r="A419" s="11" t="s">
        <v>2</v>
      </c>
      <c r="B419" s="55" t="str">
        <f>'ROL DE AGOSTO'!C35</f>
        <v>1500660749</v>
      </c>
      <c r="C419" s="4"/>
      <c r="D419" s="13"/>
    </row>
    <row r="420" spans="1:4" x14ac:dyDescent="0.3">
      <c r="A420" s="11" t="s">
        <v>3</v>
      </c>
      <c r="B420" s="3" t="str">
        <f>'ROL DE AGOSTO'!E35</f>
        <v>CONDUCTOR</v>
      </c>
      <c r="C420" s="4"/>
      <c r="D420" s="14"/>
    </row>
    <row r="421" spans="1:4" x14ac:dyDescent="0.3">
      <c r="A421" s="11" t="s">
        <v>26</v>
      </c>
      <c r="B421" s="3" t="str">
        <f>'ROL DE AGOSTO'!A35</f>
        <v>AGOSTO</v>
      </c>
      <c r="C421" s="4"/>
      <c r="D421" s="15"/>
    </row>
    <row r="422" spans="1:4" x14ac:dyDescent="0.3">
      <c r="A422" s="11" t="s">
        <v>99</v>
      </c>
      <c r="B422" s="55">
        <f>'ROL DE AGOSTO'!B35</f>
        <v>2023</v>
      </c>
      <c r="C422" s="4"/>
      <c r="D422" s="15"/>
    </row>
    <row r="423" spans="1:4" x14ac:dyDescent="0.3">
      <c r="A423" s="203" t="s">
        <v>94</v>
      </c>
      <c r="B423" s="204"/>
      <c r="C423" s="205" t="s">
        <v>5</v>
      </c>
      <c r="D423" s="206" t="s">
        <v>6</v>
      </c>
    </row>
    <row r="424" spans="1:4" x14ac:dyDescent="0.3">
      <c r="A424" s="18"/>
      <c r="B424" s="6"/>
      <c r="C424" s="7"/>
      <c r="D424" s="19"/>
    </row>
    <row r="425" spans="1:4" x14ac:dyDescent="0.3">
      <c r="A425" s="26" t="s">
        <v>16</v>
      </c>
      <c r="B425" s="27"/>
      <c r="C425" s="28">
        <f>'ROL DE AGOSTO'!F35</f>
        <v>614</v>
      </c>
      <c r="D425" s="29"/>
    </row>
    <row r="426" spans="1:4" x14ac:dyDescent="0.3">
      <c r="A426" s="26" t="s">
        <v>105</v>
      </c>
      <c r="B426" s="27"/>
      <c r="C426" s="28"/>
      <c r="D426" s="29"/>
    </row>
    <row r="427" spans="1:4" x14ac:dyDescent="0.3">
      <c r="A427" s="26" t="s">
        <v>8</v>
      </c>
      <c r="B427" s="27"/>
      <c r="C427" s="28"/>
      <c r="D427" s="29"/>
    </row>
    <row r="428" spans="1:4" x14ac:dyDescent="0.3">
      <c r="A428" s="26" t="s">
        <v>9</v>
      </c>
      <c r="B428" s="27"/>
      <c r="C428" s="28"/>
      <c r="D428" s="29"/>
    </row>
    <row r="429" spans="1:4" ht="24" x14ac:dyDescent="0.3">
      <c r="A429" s="26"/>
      <c r="B429" s="27" t="s">
        <v>10</v>
      </c>
      <c r="C429" s="28"/>
      <c r="D429" s="29">
        <f>'ROL DE AGOSTO'!L35</f>
        <v>58.022999999999989</v>
      </c>
    </row>
    <row r="430" spans="1:4" ht="24" x14ac:dyDescent="0.3">
      <c r="A430" s="26"/>
      <c r="B430" s="27" t="s">
        <v>11</v>
      </c>
      <c r="C430" s="28"/>
      <c r="D430" s="29">
        <f>'ROL DE AGOSTO'!O35</f>
        <v>0</v>
      </c>
    </row>
    <row r="431" spans="1:4" x14ac:dyDescent="0.3">
      <c r="A431" s="26"/>
      <c r="B431" s="27" t="s">
        <v>55</v>
      </c>
      <c r="C431" s="28"/>
      <c r="D431" s="29">
        <f>'ROL DE AGOSTO'!S35</f>
        <v>169.8</v>
      </c>
    </row>
    <row r="432" spans="1:4" ht="24" x14ac:dyDescent="0.3">
      <c r="A432" s="26"/>
      <c r="B432" s="27" t="s">
        <v>18</v>
      </c>
      <c r="C432" s="28"/>
      <c r="D432" s="29">
        <f>'ROL DE AGOSTO'!P35</f>
        <v>0</v>
      </c>
    </row>
    <row r="433" spans="1:4" x14ac:dyDescent="0.3">
      <c r="A433" s="207"/>
      <c r="B433" s="208" t="s">
        <v>12</v>
      </c>
      <c r="C433" s="209">
        <f>SUM(C425:C432)</f>
        <v>614</v>
      </c>
      <c r="D433" s="210">
        <f>SUM(D425:D432)</f>
        <v>227.82300000000001</v>
      </c>
    </row>
    <row r="434" spans="1:4" ht="28.2" x14ac:dyDescent="0.3">
      <c r="A434" s="21"/>
      <c r="B434" s="45"/>
      <c r="C434" s="211" t="s">
        <v>13</v>
      </c>
      <c r="D434" s="212">
        <f>+C433-D433</f>
        <v>386.17700000000002</v>
      </c>
    </row>
    <row r="435" spans="1:4" ht="15" thickBot="1" x14ac:dyDescent="0.35">
      <c r="A435" s="23"/>
      <c r="B435" s="4" t="s">
        <v>14</v>
      </c>
      <c r="C435" s="2"/>
      <c r="D435" s="24"/>
    </row>
    <row r="436" spans="1:4" x14ac:dyDescent="0.3">
      <c r="A436" s="213" t="s">
        <v>28</v>
      </c>
      <c r="B436" s="213" t="s">
        <v>93</v>
      </c>
      <c r="C436" s="348" t="s">
        <v>30</v>
      </c>
      <c r="D436" s="349"/>
    </row>
    <row r="437" spans="1:4" x14ac:dyDescent="0.3">
      <c r="A437" s="37"/>
      <c r="B437" s="34"/>
      <c r="C437" s="32"/>
      <c r="D437" s="2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8" t="s">
        <v>298</v>
      </c>
      <c r="B442" s="35" t="s">
        <v>297</v>
      </c>
      <c r="C442" s="290" t="str">
        <f>'ROL INDIVIDUAL'!B418</f>
        <v>ZAMORA MACIAS RAMON CRISTOBAL</v>
      </c>
      <c r="D442" s="291"/>
    </row>
    <row r="443" spans="1:4" ht="15" thickBot="1" x14ac:dyDescent="0.35">
      <c r="A443" s="36" t="s">
        <v>246</v>
      </c>
      <c r="B443" s="33" t="s">
        <v>299</v>
      </c>
      <c r="C443" s="353" t="str">
        <f>B419</f>
        <v>1500660749</v>
      </c>
      <c r="D443" s="354"/>
    </row>
    <row r="444" spans="1:4" x14ac:dyDescent="0.3">
      <c r="A444" s="214"/>
      <c r="B444" s="58"/>
      <c r="C444" s="59"/>
      <c r="D444" s="215"/>
    </row>
    <row r="445" spans="1:4" ht="15" thickBot="1" x14ac:dyDescent="0.35">
      <c r="A445" s="214"/>
      <c r="B445" s="58"/>
      <c r="C445" s="59"/>
      <c r="D445" s="215"/>
    </row>
    <row r="446" spans="1:4" x14ac:dyDescent="0.3">
      <c r="A446" s="294"/>
      <c r="B446" s="295"/>
      <c r="C446" s="295"/>
      <c r="D446" s="296"/>
    </row>
    <row r="447" spans="1:4" x14ac:dyDescent="0.3">
      <c r="A447" s="307"/>
      <c r="B447" s="308"/>
      <c r="C447" s="308"/>
      <c r="D447" s="309"/>
    </row>
    <row r="448" spans="1:4" ht="15" thickBot="1" x14ac:dyDescent="0.35">
      <c r="A448" s="307"/>
      <c r="B448" s="308"/>
      <c r="C448" s="308"/>
      <c r="D448" s="309"/>
    </row>
    <row r="449" spans="1:4" ht="25.8" thickBot="1" x14ac:dyDescent="0.35">
      <c r="A449" s="350" t="s">
        <v>0</v>
      </c>
      <c r="B449" s="351"/>
      <c r="C449" s="351"/>
      <c r="D449" s="352"/>
    </row>
    <row r="450" spans="1:4" x14ac:dyDescent="0.3">
      <c r="A450" s="11" t="s">
        <v>1</v>
      </c>
      <c r="B450" s="3" t="str">
        <f>'ROL DE AGOSTO'!D58</f>
        <v>CALAPUCHA SALAZAR DINA MAGALY</v>
      </c>
      <c r="C450" s="3"/>
      <c r="D450" s="12"/>
    </row>
    <row r="451" spans="1:4" x14ac:dyDescent="0.3">
      <c r="A451" s="11" t="s">
        <v>2</v>
      </c>
      <c r="B451" s="218">
        <f>'ROL DE AGOSTO'!C58</f>
        <v>2200446587</v>
      </c>
      <c r="C451" s="4"/>
      <c r="D451" s="13"/>
    </row>
    <row r="452" spans="1:4" x14ac:dyDescent="0.3">
      <c r="A452" s="11" t="s">
        <v>3</v>
      </c>
      <c r="B452" s="3" t="str">
        <f>'ROL DE AGOSTO'!E58</f>
        <v>ASISTENTE_ADMINISTRATIVO</v>
      </c>
      <c r="C452" s="4"/>
      <c r="D452" s="14"/>
    </row>
    <row r="453" spans="1:4" x14ac:dyDescent="0.3">
      <c r="A453" s="11" t="s">
        <v>26</v>
      </c>
      <c r="B453" s="3" t="str">
        <f>'ROL DE AGOSTO'!A60</f>
        <v>AGOSTO</v>
      </c>
      <c r="C453" s="4"/>
      <c r="D453" s="15"/>
    </row>
    <row r="454" spans="1:4" x14ac:dyDescent="0.3">
      <c r="A454" s="11" t="s">
        <v>99</v>
      </c>
      <c r="B454" s="55">
        <f>'ROL DE AGOSTO'!B58</f>
        <v>2023</v>
      </c>
      <c r="C454" s="4"/>
      <c r="D454" s="15"/>
    </row>
    <row r="455" spans="1:4" x14ac:dyDescent="0.3">
      <c r="A455" s="203" t="s">
        <v>94</v>
      </c>
      <c r="B455" s="204"/>
      <c r="C455" s="205" t="s">
        <v>5</v>
      </c>
      <c r="D455" s="206" t="s">
        <v>6</v>
      </c>
    </row>
    <row r="456" spans="1:4" x14ac:dyDescent="0.3">
      <c r="A456" s="18"/>
      <c r="B456" s="6"/>
      <c r="C456" s="7"/>
      <c r="D456" s="19"/>
    </row>
    <row r="457" spans="1:4" x14ac:dyDescent="0.3">
      <c r="A457" s="26" t="s">
        <v>16</v>
      </c>
      <c r="B457" s="27"/>
      <c r="C457" s="28">
        <f>'ROL DE AGOSTO'!H58</f>
        <v>527</v>
      </c>
      <c r="D457" s="29"/>
    </row>
    <row r="458" spans="1:4" x14ac:dyDescent="0.3">
      <c r="A458" s="26" t="s">
        <v>105</v>
      </c>
      <c r="B458" s="27"/>
      <c r="C458" s="28"/>
      <c r="D458" s="29"/>
    </row>
    <row r="459" spans="1:4" x14ac:dyDescent="0.3">
      <c r="A459" s="26" t="s">
        <v>8</v>
      </c>
      <c r="B459" s="27"/>
      <c r="C459" s="28">
        <f>'ROL DE AGOSTO'!I58</f>
        <v>43.916666666666664</v>
      </c>
      <c r="D459" s="29"/>
    </row>
    <row r="460" spans="1:4" x14ac:dyDescent="0.3">
      <c r="A460" s="26" t="s">
        <v>9</v>
      </c>
      <c r="B460" s="27"/>
      <c r="C460" s="28">
        <f>'ROL DE AGOSTO'!J58</f>
        <v>37.5</v>
      </c>
      <c r="D460" s="29"/>
    </row>
    <row r="461" spans="1:4" ht="24" x14ac:dyDescent="0.3">
      <c r="A461" s="26"/>
      <c r="B461" s="27" t="s">
        <v>10</v>
      </c>
      <c r="C461" s="28"/>
      <c r="D461" s="29">
        <f>'ROL DE AGOSTO'!L58</f>
        <v>60.341499999999996</v>
      </c>
    </row>
    <row r="462" spans="1:4" ht="24" x14ac:dyDescent="0.3">
      <c r="A462" s="26"/>
      <c r="B462" s="27" t="s">
        <v>11</v>
      </c>
      <c r="C462" s="28"/>
      <c r="D462" s="29">
        <f>'ROL DE AGOSTO'!O58</f>
        <v>0</v>
      </c>
    </row>
    <row r="463" spans="1:4" x14ac:dyDescent="0.3">
      <c r="A463" s="26"/>
      <c r="B463" s="27" t="s">
        <v>55</v>
      </c>
      <c r="C463" s="28"/>
      <c r="D463" s="29">
        <f>'ROL DE AGOSTO'!S58</f>
        <v>0</v>
      </c>
    </row>
    <row r="464" spans="1:4" ht="24" x14ac:dyDescent="0.3">
      <c r="A464" s="26"/>
      <c r="B464" s="27" t="s">
        <v>18</v>
      </c>
      <c r="C464" s="28"/>
      <c r="D464" s="29">
        <f>'ROL DE AGOSTO'!P58</f>
        <v>0</v>
      </c>
    </row>
    <row r="465" spans="1:4" x14ac:dyDescent="0.3">
      <c r="A465" s="207"/>
      <c r="B465" s="208" t="s">
        <v>12</v>
      </c>
      <c r="C465" s="209">
        <f>SUM(C457:C464)</f>
        <v>608.41666666666663</v>
      </c>
      <c r="D465" s="210">
        <f>SUM(D457:D464)</f>
        <v>60.341499999999996</v>
      </c>
    </row>
    <row r="466" spans="1:4" ht="28.2" x14ac:dyDescent="0.3">
      <c r="A466" s="21"/>
      <c r="B466" s="45"/>
      <c r="C466" s="211" t="s">
        <v>13</v>
      </c>
      <c r="D466" s="212">
        <f>+C465-D465</f>
        <v>548.07516666666663</v>
      </c>
    </row>
    <row r="467" spans="1:4" ht="15" thickBot="1" x14ac:dyDescent="0.35">
      <c r="A467" s="23"/>
      <c r="B467" s="4" t="s">
        <v>14</v>
      </c>
      <c r="C467" s="2"/>
      <c r="D467" s="24"/>
    </row>
    <row r="468" spans="1:4" x14ac:dyDescent="0.3">
      <c r="A468" s="213" t="s">
        <v>28</v>
      </c>
      <c r="B468" s="213" t="s">
        <v>93</v>
      </c>
      <c r="C468" s="348" t="s">
        <v>30</v>
      </c>
      <c r="D468" s="349"/>
    </row>
    <row r="469" spans="1:4" x14ac:dyDescent="0.3">
      <c r="A469" s="37"/>
      <c r="B469" s="34"/>
      <c r="C469" s="32"/>
      <c r="D469" s="25"/>
    </row>
    <row r="470" spans="1:4" x14ac:dyDescent="0.3">
      <c r="A470" s="37"/>
      <c r="B470" s="34"/>
      <c r="C470" s="32"/>
      <c r="D470" s="25"/>
    </row>
    <row r="471" spans="1:4" x14ac:dyDescent="0.3">
      <c r="A471" s="37"/>
      <c r="B471" s="34"/>
      <c r="C471" s="32"/>
      <c r="D471" s="25"/>
    </row>
    <row r="472" spans="1:4" x14ac:dyDescent="0.3">
      <c r="A472" s="37"/>
      <c r="B472" s="34"/>
      <c r="C472" s="32"/>
      <c r="D472" s="25"/>
    </row>
    <row r="473" spans="1:4" x14ac:dyDescent="0.3">
      <c r="A473" s="37"/>
      <c r="B473" s="34"/>
      <c r="C473" s="32"/>
      <c r="D473" s="25"/>
    </row>
    <row r="474" spans="1:4" x14ac:dyDescent="0.3">
      <c r="A474" s="38" t="s">
        <v>298</v>
      </c>
      <c r="B474" s="35" t="s">
        <v>297</v>
      </c>
      <c r="C474" s="290" t="str">
        <f>B450</f>
        <v>CALAPUCHA SALAZAR DINA MAGALY</v>
      </c>
      <c r="D474" s="291"/>
    </row>
    <row r="475" spans="1:4" ht="15" thickBot="1" x14ac:dyDescent="0.35">
      <c r="A475" s="36" t="s">
        <v>246</v>
      </c>
      <c r="B475" s="33" t="s">
        <v>299</v>
      </c>
      <c r="C475" s="353">
        <f>B451</f>
        <v>2200446587</v>
      </c>
      <c r="D475" s="354"/>
    </row>
    <row r="483" spans="1:4" ht="15" thickBot="1" x14ac:dyDescent="0.35"/>
    <row r="484" spans="1:4" x14ac:dyDescent="0.3">
      <c r="A484" s="294"/>
      <c r="B484" s="295"/>
      <c r="C484" s="295"/>
      <c r="D484" s="296"/>
    </row>
    <row r="485" spans="1:4" x14ac:dyDescent="0.3">
      <c r="A485" s="307"/>
      <c r="B485" s="308"/>
      <c r="C485" s="308"/>
      <c r="D485" s="309"/>
    </row>
    <row r="486" spans="1:4" ht="15" thickBot="1" x14ac:dyDescent="0.35">
      <c r="A486" s="307"/>
      <c r="B486" s="308"/>
      <c r="C486" s="308"/>
      <c r="D486" s="309"/>
    </row>
    <row r="487" spans="1:4" ht="25.8" thickBot="1" x14ac:dyDescent="0.35">
      <c r="A487" s="350" t="s">
        <v>0</v>
      </c>
      <c r="B487" s="351"/>
      <c r="C487" s="351"/>
      <c r="D487" s="352"/>
    </row>
    <row r="488" spans="1:4" x14ac:dyDescent="0.3">
      <c r="A488" s="11" t="s">
        <v>1</v>
      </c>
      <c r="B488" s="3" t="str">
        <f>'ROL DE AGOSTO'!D59</f>
        <v>ALARCON NARANJO PEDRO DANIEL</v>
      </c>
      <c r="C488" s="3"/>
      <c r="D488" s="12"/>
    </row>
    <row r="489" spans="1:4" x14ac:dyDescent="0.3">
      <c r="A489" s="11" t="s">
        <v>2</v>
      </c>
      <c r="B489" s="10" t="str">
        <f>'ROL DE AGOSTO'!C59</f>
        <v>0201172517</v>
      </c>
      <c r="C489" s="4"/>
      <c r="D489" s="13"/>
    </row>
    <row r="490" spans="1:4" x14ac:dyDescent="0.3">
      <c r="A490" s="11" t="s">
        <v>3</v>
      </c>
      <c r="B490" s="3" t="str">
        <f>'ROL DE AGOSTO'!E59</f>
        <v>TECNICO DE PLANIFICACION</v>
      </c>
      <c r="C490" s="4"/>
      <c r="D490" s="14"/>
    </row>
    <row r="491" spans="1:4" x14ac:dyDescent="0.3">
      <c r="A491" s="11" t="s">
        <v>26</v>
      </c>
      <c r="B491" s="3" t="str">
        <f>'ROL DE AGOSTO'!A59</f>
        <v>AGOSTO</v>
      </c>
      <c r="C491" s="4"/>
      <c r="D491" s="15"/>
    </row>
    <row r="492" spans="1:4" x14ac:dyDescent="0.3">
      <c r="A492" s="11" t="s">
        <v>99</v>
      </c>
      <c r="B492" s="55">
        <f>'ROL DE AGOSTO'!B59</f>
        <v>2023</v>
      </c>
      <c r="C492" s="4"/>
      <c r="D492" s="15"/>
    </row>
    <row r="493" spans="1:4" x14ac:dyDescent="0.3">
      <c r="A493" s="203" t="s">
        <v>94</v>
      </c>
      <c r="B493" s="204"/>
      <c r="C493" s="205" t="s">
        <v>5</v>
      </c>
      <c r="D493" s="206" t="s">
        <v>6</v>
      </c>
    </row>
    <row r="494" spans="1:4" x14ac:dyDescent="0.3">
      <c r="A494" s="18"/>
      <c r="B494" s="6"/>
      <c r="C494" s="7"/>
      <c r="D494" s="19"/>
    </row>
    <row r="495" spans="1:4" x14ac:dyDescent="0.3">
      <c r="A495" s="26" t="s">
        <v>16</v>
      </c>
      <c r="B495" s="27"/>
      <c r="C495" s="28">
        <f>'ROL DE AGOSTO'!F59</f>
        <v>1212</v>
      </c>
      <c r="D495" s="29"/>
    </row>
    <row r="496" spans="1:4" x14ac:dyDescent="0.3">
      <c r="A496" s="26" t="s">
        <v>105</v>
      </c>
      <c r="B496" s="27"/>
      <c r="C496" s="28"/>
      <c r="D496" s="29"/>
    </row>
    <row r="497" spans="1:4" x14ac:dyDescent="0.3">
      <c r="A497" s="26" t="s">
        <v>8</v>
      </c>
      <c r="B497" s="27"/>
      <c r="C497" s="28">
        <f>'ROL DE AGOSTO'!I59</f>
        <v>101</v>
      </c>
      <c r="D497" s="29"/>
    </row>
    <row r="498" spans="1:4" x14ac:dyDescent="0.3">
      <c r="A498" s="26" t="s">
        <v>9</v>
      </c>
      <c r="B498" s="27"/>
      <c r="C498" s="28">
        <f>'ROL DE AGOSTO'!J59</f>
        <v>37.5</v>
      </c>
      <c r="D498" s="29"/>
    </row>
    <row r="499" spans="1:4" ht="24" x14ac:dyDescent="0.3">
      <c r="A499" s="26"/>
      <c r="B499" s="27" t="s">
        <v>10</v>
      </c>
      <c r="C499" s="28"/>
      <c r="D499" s="29">
        <f>'ROL DE AGOSTO'!L59</f>
        <v>138.774</v>
      </c>
    </row>
    <row r="500" spans="1:4" ht="24" x14ac:dyDescent="0.3">
      <c r="A500" s="26"/>
      <c r="B500" s="27" t="s">
        <v>11</v>
      </c>
      <c r="C500" s="28"/>
      <c r="D500" s="29">
        <f>'ROL DE AGOSTO'!O59</f>
        <v>0</v>
      </c>
    </row>
    <row r="501" spans="1:4" x14ac:dyDescent="0.3">
      <c r="A501" s="26"/>
      <c r="B501" s="27" t="s">
        <v>55</v>
      </c>
      <c r="C501" s="28"/>
      <c r="D501" s="29">
        <f>'ROL DE AGOSTO'!S59</f>
        <v>18.75</v>
      </c>
    </row>
    <row r="502" spans="1:4" ht="24" x14ac:dyDescent="0.3">
      <c r="A502" s="26"/>
      <c r="B502" s="27" t="s">
        <v>18</v>
      </c>
      <c r="C502" s="28"/>
      <c r="D502" s="29">
        <f>'ROL DE AGOSTO'!P59</f>
        <v>127.91</v>
      </c>
    </row>
    <row r="503" spans="1:4" x14ac:dyDescent="0.3">
      <c r="A503" s="207"/>
      <c r="B503" s="208" t="s">
        <v>12</v>
      </c>
      <c r="C503" s="209">
        <f>SUM(C495:C502)</f>
        <v>1350.5</v>
      </c>
      <c r="D503" s="210">
        <f>SUM(D495:D502)</f>
        <v>285.43399999999997</v>
      </c>
    </row>
    <row r="504" spans="1:4" ht="28.2" x14ac:dyDescent="0.3">
      <c r="A504" s="21"/>
      <c r="B504" s="45"/>
      <c r="C504" s="211" t="s">
        <v>13</v>
      </c>
      <c r="D504" s="212">
        <f>+C503-D503</f>
        <v>1065.066</v>
      </c>
    </row>
    <row r="505" spans="1:4" ht="15" thickBot="1" x14ac:dyDescent="0.35">
      <c r="A505" s="23"/>
      <c r="B505" s="4" t="s">
        <v>14</v>
      </c>
      <c r="C505" s="2"/>
      <c r="D505" s="24"/>
    </row>
    <row r="506" spans="1:4" x14ac:dyDescent="0.3">
      <c r="A506" s="213" t="s">
        <v>28</v>
      </c>
      <c r="B506" s="213" t="s">
        <v>93</v>
      </c>
      <c r="C506" s="348" t="s">
        <v>30</v>
      </c>
      <c r="D506" s="349"/>
    </row>
    <row r="507" spans="1:4" x14ac:dyDescent="0.3">
      <c r="A507" s="37"/>
      <c r="B507" s="34"/>
      <c r="C507" s="32"/>
      <c r="D507" s="25"/>
    </row>
    <row r="508" spans="1:4" x14ac:dyDescent="0.3">
      <c r="A508" s="37"/>
      <c r="B508" s="34"/>
      <c r="C508" s="32"/>
      <c r="D508" s="25"/>
    </row>
    <row r="509" spans="1:4" x14ac:dyDescent="0.3">
      <c r="A509" s="37"/>
      <c r="B509" s="34"/>
      <c r="C509" s="32"/>
      <c r="D509" s="25"/>
    </row>
    <row r="510" spans="1:4" x14ac:dyDescent="0.3">
      <c r="A510" s="37"/>
      <c r="B510" s="34"/>
      <c r="C510" s="32"/>
      <c r="D510" s="25"/>
    </row>
    <row r="511" spans="1:4" x14ac:dyDescent="0.3">
      <c r="A511" s="37"/>
      <c r="B511" s="34"/>
      <c r="C511" s="32"/>
      <c r="D511" s="25"/>
    </row>
    <row r="512" spans="1:4" x14ac:dyDescent="0.3">
      <c r="A512" s="38" t="s">
        <v>298</v>
      </c>
      <c r="B512" s="35" t="s">
        <v>297</v>
      </c>
      <c r="C512" s="290" t="str">
        <f>'ROL INDIVIDUAL'!B488</f>
        <v>ALARCON NARANJO PEDRO DANIEL</v>
      </c>
      <c r="D512" s="291"/>
    </row>
    <row r="513" spans="1:4" ht="15" thickBot="1" x14ac:dyDescent="0.35">
      <c r="A513" s="36" t="s">
        <v>246</v>
      </c>
      <c r="B513" s="33" t="s">
        <v>299</v>
      </c>
      <c r="C513" s="353" t="str">
        <f>B489</f>
        <v>0201172517</v>
      </c>
      <c r="D513" s="354"/>
    </row>
    <row r="514" spans="1:4" x14ac:dyDescent="0.3">
      <c r="A514" s="214"/>
      <c r="B514" s="58"/>
      <c r="C514" s="59"/>
      <c r="D514" s="215"/>
    </row>
    <row r="515" spans="1:4" ht="15" thickBot="1" x14ac:dyDescent="0.35">
      <c r="A515" s="214"/>
      <c r="B515" s="58"/>
      <c r="C515" s="59"/>
      <c r="D515" s="215"/>
    </row>
    <row r="516" spans="1:4" x14ac:dyDescent="0.3">
      <c r="A516" s="294"/>
      <c r="B516" s="295"/>
      <c r="C516" s="295"/>
      <c r="D516" s="296"/>
    </row>
    <row r="517" spans="1:4" x14ac:dyDescent="0.3">
      <c r="A517" s="307"/>
      <c r="B517" s="308"/>
      <c r="C517" s="308"/>
      <c r="D517" s="309"/>
    </row>
    <row r="518" spans="1:4" ht="15" thickBot="1" x14ac:dyDescent="0.35">
      <c r="A518" s="307"/>
      <c r="B518" s="308"/>
      <c r="C518" s="308"/>
      <c r="D518" s="309"/>
    </row>
    <row r="519" spans="1:4" ht="25.8" thickBot="1" x14ac:dyDescent="0.35">
      <c r="A519" s="350" t="s">
        <v>0</v>
      </c>
      <c r="B519" s="351"/>
      <c r="C519" s="351"/>
      <c r="D519" s="352"/>
    </row>
    <row r="520" spans="1:4" x14ac:dyDescent="0.3">
      <c r="A520" s="11" t="s">
        <v>1</v>
      </c>
      <c r="B520" s="3"/>
      <c r="C520" s="3"/>
      <c r="D520" s="12"/>
    </row>
    <row r="521" spans="1:4" x14ac:dyDescent="0.3">
      <c r="A521" s="11" t="s">
        <v>2</v>
      </c>
      <c r="B521" s="10">
        <f>'ROL DE AGOSTO'!C492</f>
        <v>0</v>
      </c>
      <c r="C521" s="4"/>
      <c r="D521" s="13"/>
    </row>
    <row r="522" spans="1:4" x14ac:dyDescent="0.3">
      <c r="A522" s="11" t="s">
        <v>3</v>
      </c>
      <c r="B522" s="3">
        <f>'ROL DE AGOSTO'!E492</f>
        <v>0</v>
      </c>
      <c r="C522" s="4"/>
      <c r="D522" s="14"/>
    </row>
    <row r="523" spans="1:4" x14ac:dyDescent="0.3">
      <c r="A523" s="11" t="s">
        <v>26</v>
      </c>
      <c r="B523" s="3">
        <f>'ROL DE AGOSTO'!A492</f>
        <v>0</v>
      </c>
      <c r="C523" s="4"/>
      <c r="D523" s="15"/>
    </row>
    <row r="524" spans="1:4" x14ac:dyDescent="0.3">
      <c r="A524" s="11" t="s">
        <v>99</v>
      </c>
      <c r="B524" s="55">
        <f>'ROL DE AGOSTO'!B491</f>
        <v>0</v>
      </c>
      <c r="C524" s="4"/>
      <c r="D524" s="15"/>
    </row>
    <row r="525" spans="1:4" x14ac:dyDescent="0.3">
      <c r="A525" s="203" t="s">
        <v>94</v>
      </c>
      <c r="B525" s="204"/>
      <c r="C525" s="205" t="s">
        <v>5</v>
      </c>
      <c r="D525" s="206" t="s">
        <v>6</v>
      </c>
    </row>
    <row r="526" spans="1:4" x14ac:dyDescent="0.3">
      <c r="A526" s="18"/>
      <c r="B526" s="6"/>
      <c r="C526" s="7"/>
      <c r="D526" s="19"/>
    </row>
    <row r="527" spans="1:4" x14ac:dyDescent="0.3">
      <c r="A527" s="26" t="s">
        <v>16</v>
      </c>
      <c r="B527" s="27"/>
      <c r="C527" s="28">
        <f>'ROL DE AGOSTO'!F492</f>
        <v>0</v>
      </c>
      <c r="D527" s="29"/>
    </row>
    <row r="528" spans="1:4" x14ac:dyDescent="0.3">
      <c r="A528" s="26" t="s">
        <v>105</v>
      </c>
      <c r="B528" s="27"/>
      <c r="C528" s="28"/>
      <c r="D528" s="29"/>
    </row>
    <row r="529" spans="1:4" x14ac:dyDescent="0.3">
      <c r="A529" s="26" t="s">
        <v>8</v>
      </c>
      <c r="B529" s="27"/>
      <c r="C529" s="28"/>
      <c r="D529" s="29"/>
    </row>
    <row r="530" spans="1:4" x14ac:dyDescent="0.3">
      <c r="A530" s="26" t="s">
        <v>9</v>
      </c>
      <c r="B530" s="27"/>
      <c r="C530" s="28"/>
      <c r="D530" s="29"/>
    </row>
    <row r="531" spans="1:4" ht="24" x14ac:dyDescent="0.3">
      <c r="A531" s="26"/>
      <c r="B531" s="27" t="s">
        <v>10</v>
      </c>
      <c r="C531" s="28"/>
      <c r="D531" s="29">
        <f>'ROL DE AGOSTO'!L492</f>
        <v>0</v>
      </c>
    </row>
    <row r="532" spans="1:4" ht="24" x14ac:dyDescent="0.3">
      <c r="A532" s="26"/>
      <c r="B532" s="27" t="s">
        <v>11</v>
      </c>
      <c r="C532" s="28"/>
      <c r="D532" s="29">
        <f>'ROL DE AGOSTO'!O492</f>
        <v>0</v>
      </c>
    </row>
    <row r="533" spans="1:4" x14ac:dyDescent="0.3">
      <c r="A533" s="26"/>
      <c r="B533" s="27" t="s">
        <v>55</v>
      </c>
      <c r="C533" s="28"/>
      <c r="D533" s="29">
        <f>'ROL DE AGOSTO'!S492</f>
        <v>0</v>
      </c>
    </row>
    <row r="534" spans="1:4" ht="24" x14ac:dyDescent="0.3">
      <c r="A534" s="26"/>
      <c r="B534" s="27" t="s">
        <v>18</v>
      </c>
      <c r="C534" s="28"/>
      <c r="D534" s="29">
        <f>'ROL DE AGOSTO'!P492</f>
        <v>0</v>
      </c>
    </row>
    <row r="535" spans="1:4" x14ac:dyDescent="0.3">
      <c r="A535" s="207"/>
      <c r="B535" s="208" t="s">
        <v>12</v>
      </c>
      <c r="C535" s="209">
        <f>SUM(C527:C534)</f>
        <v>0</v>
      </c>
      <c r="D535" s="210">
        <f>SUM(D527:D534)</f>
        <v>0</v>
      </c>
    </row>
    <row r="536" spans="1:4" ht="28.2" x14ac:dyDescent="0.3">
      <c r="A536" s="21"/>
      <c r="B536" s="45"/>
      <c r="C536" s="211" t="s">
        <v>13</v>
      </c>
      <c r="D536" s="212">
        <f>+C535-D535</f>
        <v>0</v>
      </c>
    </row>
    <row r="537" spans="1:4" ht="15" thickBot="1" x14ac:dyDescent="0.35">
      <c r="A537" s="23"/>
      <c r="B537" s="4" t="s">
        <v>14</v>
      </c>
      <c r="C537" s="2"/>
      <c r="D537" s="24"/>
    </row>
    <row r="538" spans="1:4" x14ac:dyDescent="0.3">
      <c r="A538" s="213" t="s">
        <v>28</v>
      </c>
      <c r="B538" s="213" t="s">
        <v>93</v>
      </c>
      <c r="C538" s="348" t="s">
        <v>30</v>
      </c>
      <c r="D538" s="349"/>
    </row>
    <row r="539" spans="1:4" x14ac:dyDescent="0.3">
      <c r="A539" s="37"/>
      <c r="B539" s="34"/>
      <c r="C539" s="32"/>
      <c r="D539" s="25"/>
    </row>
    <row r="540" spans="1:4" x14ac:dyDescent="0.3">
      <c r="A540" s="37"/>
      <c r="B540" s="34"/>
      <c r="C540" s="32"/>
      <c r="D540" s="25"/>
    </row>
    <row r="541" spans="1:4" x14ac:dyDescent="0.3">
      <c r="A541" s="37"/>
      <c r="B541" s="34"/>
      <c r="C541" s="32"/>
      <c r="D541" s="25"/>
    </row>
    <row r="542" spans="1:4" x14ac:dyDescent="0.3">
      <c r="A542" s="37"/>
      <c r="B542" s="34"/>
      <c r="C542" s="32"/>
      <c r="D542" s="25"/>
    </row>
    <row r="543" spans="1:4" x14ac:dyDescent="0.3">
      <c r="A543" s="37"/>
      <c r="B543" s="34"/>
      <c r="C543" s="32"/>
      <c r="D543" s="25"/>
    </row>
    <row r="544" spans="1:4" x14ac:dyDescent="0.3">
      <c r="A544" s="38" t="s">
        <v>298</v>
      </c>
      <c r="B544" s="35" t="s">
        <v>297</v>
      </c>
      <c r="C544" s="290">
        <f>B520</f>
        <v>0</v>
      </c>
      <c r="D544" s="291"/>
    </row>
    <row r="545" spans="1:4" ht="15" thickBot="1" x14ac:dyDescent="0.35">
      <c r="A545" s="36" t="s">
        <v>246</v>
      </c>
      <c r="B545" s="33" t="s">
        <v>299</v>
      </c>
      <c r="C545" s="353">
        <f>B521</f>
        <v>0</v>
      </c>
      <c r="D545" s="354"/>
    </row>
    <row r="553" spans="1:4" ht="15" thickBot="1" x14ac:dyDescent="0.35"/>
    <row r="554" spans="1:4" x14ac:dyDescent="0.3">
      <c r="A554" s="294"/>
      <c r="B554" s="295"/>
      <c r="C554" s="295"/>
      <c r="D554" s="296"/>
    </row>
    <row r="555" spans="1:4" x14ac:dyDescent="0.3">
      <c r="A555" s="307"/>
      <c r="B555" s="308"/>
      <c r="C555" s="308"/>
      <c r="D555" s="309"/>
    </row>
    <row r="556" spans="1:4" ht="15" thickBot="1" x14ac:dyDescent="0.35">
      <c r="A556" s="307"/>
      <c r="B556" s="308"/>
      <c r="C556" s="308"/>
      <c r="D556" s="309"/>
    </row>
    <row r="557" spans="1:4" ht="25.8" thickBot="1" x14ac:dyDescent="0.35">
      <c r="A557" s="350" t="s">
        <v>0</v>
      </c>
      <c r="B557" s="351"/>
      <c r="C557" s="351"/>
      <c r="D557" s="352"/>
    </row>
    <row r="558" spans="1:4" x14ac:dyDescent="0.3">
      <c r="A558" s="11" t="s">
        <v>1</v>
      </c>
      <c r="B558" s="3">
        <f>'ROL DE AGOSTO'!D561</f>
        <v>0</v>
      </c>
      <c r="C558" s="3"/>
      <c r="D558" s="12"/>
    </row>
    <row r="559" spans="1:4" x14ac:dyDescent="0.3">
      <c r="A559" s="11" t="s">
        <v>2</v>
      </c>
      <c r="B559" s="55">
        <f>'ROL DE AGOSTO'!C561</f>
        <v>0</v>
      </c>
      <c r="C559" s="4"/>
      <c r="D559" s="13"/>
    </row>
    <row r="560" spans="1:4" x14ac:dyDescent="0.3">
      <c r="A560" s="11" t="s">
        <v>3</v>
      </c>
      <c r="B560" s="3">
        <f>'ROL DE AGOSTO'!E561</f>
        <v>0</v>
      </c>
      <c r="C560" s="4"/>
      <c r="D560" s="14"/>
    </row>
    <row r="561" spans="1:4" x14ac:dyDescent="0.3">
      <c r="A561" s="11" t="s">
        <v>26</v>
      </c>
      <c r="B561" s="3">
        <f>'ROL DE AGOSTO'!A561</f>
        <v>0</v>
      </c>
      <c r="C561" s="4"/>
      <c r="D561" s="15"/>
    </row>
    <row r="562" spans="1:4" x14ac:dyDescent="0.3">
      <c r="A562" s="11" t="s">
        <v>99</v>
      </c>
      <c r="B562" s="55">
        <f>'ROL DE AGOSTO'!B561</f>
        <v>0</v>
      </c>
      <c r="C562" s="4"/>
      <c r="D562" s="15"/>
    </row>
    <row r="563" spans="1:4" x14ac:dyDescent="0.3">
      <c r="A563" s="203" t="s">
        <v>94</v>
      </c>
      <c r="B563" s="204"/>
      <c r="C563" s="205" t="s">
        <v>5</v>
      </c>
      <c r="D563" s="206" t="s">
        <v>6</v>
      </c>
    </row>
    <row r="564" spans="1:4" x14ac:dyDescent="0.3">
      <c r="A564" s="18"/>
      <c r="B564" s="6"/>
      <c r="C564" s="7"/>
      <c r="D564" s="19"/>
    </row>
    <row r="565" spans="1:4" x14ac:dyDescent="0.3">
      <c r="A565" s="26" t="s">
        <v>16</v>
      </c>
      <c r="B565" s="27"/>
      <c r="C565" s="28">
        <f>'ROL DE AGOSTO'!F561</f>
        <v>0</v>
      </c>
      <c r="D565" s="29"/>
    </row>
    <row r="566" spans="1:4" x14ac:dyDescent="0.3">
      <c r="A566" s="26" t="s">
        <v>105</v>
      </c>
      <c r="B566" s="27"/>
      <c r="C566" s="28"/>
      <c r="D566" s="29"/>
    </row>
    <row r="567" spans="1:4" x14ac:dyDescent="0.3">
      <c r="A567" s="26" t="s">
        <v>8</v>
      </c>
      <c r="B567" s="27"/>
      <c r="C567" s="28"/>
      <c r="D567" s="29"/>
    </row>
    <row r="568" spans="1:4" x14ac:dyDescent="0.3">
      <c r="A568" s="26" t="s">
        <v>9</v>
      </c>
      <c r="B568" s="27"/>
      <c r="C568" s="28"/>
      <c r="D568" s="29"/>
    </row>
    <row r="569" spans="1:4" ht="24" x14ac:dyDescent="0.3">
      <c r="A569" s="26"/>
      <c r="B569" s="27" t="s">
        <v>10</v>
      </c>
      <c r="C569" s="28"/>
      <c r="D569" s="29">
        <f>'ROL DE AGOSTO'!L561</f>
        <v>0</v>
      </c>
    </row>
    <row r="570" spans="1:4" ht="24" x14ac:dyDescent="0.3">
      <c r="A570" s="26"/>
      <c r="B570" s="27" t="s">
        <v>11</v>
      </c>
      <c r="C570" s="28"/>
      <c r="D570" s="29">
        <f>'ROL DE AGOSTO'!O561</f>
        <v>0</v>
      </c>
    </row>
    <row r="571" spans="1:4" x14ac:dyDescent="0.3">
      <c r="A571" s="26"/>
      <c r="B571" s="27" t="s">
        <v>55</v>
      </c>
      <c r="C571" s="28"/>
      <c r="D571" s="29">
        <f>'ROL DE AGOSTO'!S561</f>
        <v>0</v>
      </c>
    </row>
    <row r="572" spans="1:4" ht="24" x14ac:dyDescent="0.3">
      <c r="A572" s="26"/>
      <c r="B572" s="27" t="s">
        <v>18</v>
      </c>
      <c r="C572" s="28"/>
      <c r="D572" s="29">
        <f>'ROL DE AGOSTO'!P561</f>
        <v>0</v>
      </c>
    </row>
    <row r="573" spans="1:4" x14ac:dyDescent="0.3">
      <c r="A573" s="207"/>
      <c r="B573" s="208" t="s">
        <v>12</v>
      </c>
      <c r="C573" s="209">
        <f>SUM(C565:C572)</f>
        <v>0</v>
      </c>
      <c r="D573" s="210">
        <f>SUM(D565:D572)</f>
        <v>0</v>
      </c>
    </row>
    <row r="574" spans="1:4" ht="28.2" x14ac:dyDescent="0.3">
      <c r="A574" s="21"/>
      <c r="B574" s="45"/>
      <c r="C574" s="211" t="s">
        <v>13</v>
      </c>
      <c r="D574" s="212">
        <f>+C573-D573</f>
        <v>0</v>
      </c>
    </row>
    <row r="575" spans="1:4" ht="15" thickBot="1" x14ac:dyDescent="0.35">
      <c r="A575" s="23"/>
      <c r="B575" s="4" t="s">
        <v>14</v>
      </c>
      <c r="C575" s="2"/>
      <c r="D575" s="24"/>
    </row>
    <row r="576" spans="1:4" x14ac:dyDescent="0.3">
      <c r="A576" s="213" t="s">
        <v>28</v>
      </c>
      <c r="B576" s="213" t="s">
        <v>93</v>
      </c>
      <c r="C576" s="348" t="s">
        <v>30</v>
      </c>
      <c r="D576" s="349"/>
    </row>
    <row r="577" spans="1:4" x14ac:dyDescent="0.3">
      <c r="A577" s="37"/>
      <c r="B577" s="34"/>
      <c r="C577" s="32"/>
      <c r="D577" s="25"/>
    </row>
    <row r="578" spans="1:4" x14ac:dyDescent="0.3">
      <c r="A578" s="37"/>
      <c r="B578" s="34"/>
      <c r="C578" s="32"/>
      <c r="D578" s="25"/>
    </row>
    <row r="579" spans="1:4" x14ac:dyDescent="0.3">
      <c r="A579" s="37"/>
      <c r="B579" s="34"/>
      <c r="C579" s="32"/>
      <c r="D579" s="25"/>
    </row>
    <row r="580" spans="1:4" x14ac:dyDescent="0.3">
      <c r="A580" s="37"/>
      <c r="B580" s="34"/>
      <c r="C580" s="32"/>
      <c r="D580" s="25"/>
    </row>
    <row r="581" spans="1:4" x14ac:dyDescent="0.3">
      <c r="A581" s="37"/>
      <c r="B581" s="34"/>
      <c r="C581" s="32"/>
      <c r="D581" s="25"/>
    </row>
    <row r="582" spans="1:4" x14ac:dyDescent="0.3">
      <c r="A582" s="38" t="s">
        <v>298</v>
      </c>
      <c r="B582" s="35" t="s">
        <v>297</v>
      </c>
      <c r="C582" s="290">
        <f>'ROL INDIVIDUAL'!B558</f>
        <v>0</v>
      </c>
      <c r="D582" s="291"/>
    </row>
    <row r="583" spans="1:4" ht="15" thickBot="1" x14ac:dyDescent="0.35">
      <c r="A583" s="36" t="s">
        <v>246</v>
      </c>
      <c r="B583" s="33" t="s">
        <v>299</v>
      </c>
      <c r="C583" s="353">
        <f>B559</f>
        <v>0</v>
      </c>
      <c r="D583" s="354"/>
    </row>
    <row r="584" spans="1:4" x14ac:dyDescent="0.3">
      <c r="A584" s="214"/>
      <c r="B584" s="58"/>
      <c r="C584" s="59"/>
      <c r="D584" s="215"/>
    </row>
    <row r="585" spans="1:4" ht="15" thickBot="1" x14ac:dyDescent="0.35">
      <c r="A585" s="214"/>
      <c r="B585" s="58"/>
      <c r="C585" s="59"/>
      <c r="D585" s="215"/>
    </row>
    <row r="586" spans="1:4" x14ac:dyDescent="0.3">
      <c r="A586" s="294"/>
      <c r="B586" s="295"/>
      <c r="C586" s="295"/>
      <c r="D586" s="296"/>
    </row>
    <row r="587" spans="1:4" x14ac:dyDescent="0.3">
      <c r="A587" s="307"/>
      <c r="B587" s="308"/>
      <c r="C587" s="308"/>
      <c r="D587" s="309"/>
    </row>
    <row r="588" spans="1:4" ht="15" thickBot="1" x14ac:dyDescent="0.35">
      <c r="A588" s="307"/>
      <c r="B588" s="308"/>
      <c r="C588" s="308"/>
      <c r="D588" s="309"/>
    </row>
    <row r="589" spans="1:4" ht="25.8" thickBot="1" x14ac:dyDescent="0.35">
      <c r="A589" s="350" t="s">
        <v>0</v>
      </c>
      <c r="B589" s="351"/>
      <c r="C589" s="351"/>
      <c r="D589" s="352"/>
    </row>
    <row r="590" spans="1:4" x14ac:dyDescent="0.3">
      <c r="A590" s="11" t="s">
        <v>1</v>
      </c>
      <c r="B590" s="3">
        <f>'ROL DE AGOSTO'!D562</f>
        <v>0</v>
      </c>
      <c r="C590" s="3"/>
      <c r="D590" s="12"/>
    </row>
    <row r="591" spans="1:4" x14ac:dyDescent="0.3">
      <c r="A591" s="11" t="s">
        <v>2</v>
      </c>
      <c r="B591" s="10">
        <f>'ROL DE AGOSTO'!C562</f>
        <v>0</v>
      </c>
      <c r="C591" s="4"/>
      <c r="D591" s="13"/>
    </row>
    <row r="592" spans="1:4" x14ac:dyDescent="0.3">
      <c r="A592" s="11" t="s">
        <v>3</v>
      </c>
      <c r="B592" s="3">
        <f>'ROL DE AGOSTO'!E562</f>
        <v>0</v>
      </c>
      <c r="C592" s="4"/>
      <c r="D592" s="14"/>
    </row>
    <row r="593" spans="1:4" x14ac:dyDescent="0.3">
      <c r="A593" s="11" t="s">
        <v>26</v>
      </c>
      <c r="B593" s="3">
        <f>'ROL DE AGOSTO'!A562</f>
        <v>0</v>
      </c>
      <c r="C593" s="4"/>
      <c r="D593" s="15"/>
    </row>
    <row r="594" spans="1:4" x14ac:dyDescent="0.3">
      <c r="A594" s="11" t="s">
        <v>99</v>
      </c>
      <c r="B594" s="55">
        <f>'ROL DE AGOSTO'!B561</f>
        <v>0</v>
      </c>
      <c r="C594" s="4"/>
      <c r="D594" s="15"/>
    </row>
    <row r="595" spans="1:4" x14ac:dyDescent="0.3">
      <c r="A595" s="203" t="s">
        <v>94</v>
      </c>
      <c r="B595" s="204"/>
      <c r="C595" s="205" t="s">
        <v>5</v>
      </c>
      <c r="D595" s="206" t="s">
        <v>6</v>
      </c>
    </row>
    <row r="596" spans="1:4" x14ac:dyDescent="0.3">
      <c r="A596" s="18"/>
      <c r="B596" s="6"/>
      <c r="C596" s="7"/>
      <c r="D596" s="19"/>
    </row>
    <row r="597" spans="1:4" x14ac:dyDescent="0.3">
      <c r="A597" s="26" t="s">
        <v>16</v>
      </c>
      <c r="B597" s="27"/>
      <c r="C597" s="28">
        <f>'ROL DE AGOSTO'!F562</f>
        <v>0</v>
      </c>
      <c r="D597" s="29"/>
    </row>
    <row r="598" spans="1:4" x14ac:dyDescent="0.3">
      <c r="A598" s="26" t="s">
        <v>105</v>
      </c>
      <c r="B598" s="27"/>
      <c r="C598" s="28"/>
      <c r="D598" s="29"/>
    </row>
    <row r="599" spans="1:4" x14ac:dyDescent="0.3">
      <c r="A599" s="26" t="s">
        <v>8</v>
      </c>
      <c r="B599" s="27"/>
      <c r="C599" s="28"/>
      <c r="D599" s="29"/>
    </row>
    <row r="600" spans="1:4" x14ac:dyDescent="0.3">
      <c r="A600" s="26" t="s">
        <v>9</v>
      </c>
      <c r="B600" s="27"/>
      <c r="C600" s="28"/>
      <c r="D600" s="29"/>
    </row>
    <row r="601" spans="1:4" ht="24" x14ac:dyDescent="0.3">
      <c r="A601" s="26"/>
      <c r="B601" s="27" t="s">
        <v>10</v>
      </c>
      <c r="C601" s="28"/>
      <c r="D601" s="29">
        <f>'ROL DE AGOSTO'!L562</f>
        <v>0</v>
      </c>
    </row>
    <row r="602" spans="1:4" ht="24" x14ac:dyDescent="0.3">
      <c r="A602" s="26"/>
      <c r="B602" s="27" t="s">
        <v>11</v>
      </c>
      <c r="C602" s="28"/>
      <c r="D602" s="29">
        <f>'ROL DE AGOSTO'!O562</f>
        <v>0</v>
      </c>
    </row>
    <row r="603" spans="1:4" x14ac:dyDescent="0.3">
      <c r="A603" s="26"/>
      <c r="B603" s="27" t="s">
        <v>55</v>
      </c>
      <c r="C603" s="28"/>
      <c r="D603" s="29">
        <f>'ROL DE AGOSTO'!S562</f>
        <v>0</v>
      </c>
    </row>
    <row r="604" spans="1:4" ht="24" x14ac:dyDescent="0.3">
      <c r="A604" s="26"/>
      <c r="B604" s="27" t="s">
        <v>18</v>
      </c>
      <c r="C604" s="28"/>
      <c r="D604" s="29">
        <f>'ROL DE AGOSTO'!P562</f>
        <v>0</v>
      </c>
    </row>
    <row r="605" spans="1:4" x14ac:dyDescent="0.3">
      <c r="A605" s="207"/>
      <c r="B605" s="208" t="s">
        <v>12</v>
      </c>
      <c r="C605" s="209">
        <f>SUM(C597:C604)</f>
        <v>0</v>
      </c>
      <c r="D605" s="210">
        <f>SUM(D597:D604)</f>
        <v>0</v>
      </c>
    </row>
    <row r="606" spans="1:4" ht="28.2" x14ac:dyDescent="0.3">
      <c r="A606" s="21"/>
      <c r="B606" s="45"/>
      <c r="C606" s="211" t="s">
        <v>13</v>
      </c>
      <c r="D606" s="212">
        <f>+C605-D605</f>
        <v>0</v>
      </c>
    </row>
    <row r="607" spans="1:4" ht="15" thickBot="1" x14ac:dyDescent="0.35">
      <c r="A607" s="23"/>
      <c r="B607" s="4" t="s">
        <v>14</v>
      </c>
      <c r="C607" s="2"/>
      <c r="D607" s="24"/>
    </row>
    <row r="608" spans="1:4" x14ac:dyDescent="0.3">
      <c r="A608" s="213" t="s">
        <v>28</v>
      </c>
      <c r="B608" s="213" t="s">
        <v>93</v>
      </c>
      <c r="C608" s="348" t="s">
        <v>30</v>
      </c>
      <c r="D608" s="349"/>
    </row>
    <row r="609" spans="1:4" x14ac:dyDescent="0.3">
      <c r="A609" s="37"/>
      <c r="B609" s="34"/>
      <c r="C609" s="32"/>
      <c r="D609" s="25"/>
    </row>
    <row r="610" spans="1:4" x14ac:dyDescent="0.3">
      <c r="A610" s="37"/>
      <c r="B610" s="34"/>
      <c r="C610" s="32"/>
      <c r="D610" s="25"/>
    </row>
    <row r="611" spans="1:4" x14ac:dyDescent="0.3">
      <c r="A611" s="37"/>
      <c r="B611" s="34"/>
      <c r="C611" s="32"/>
      <c r="D611" s="25"/>
    </row>
    <row r="612" spans="1:4" x14ac:dyDescent="0.3">
      <c r="A612" s="37"/>
      <c r="B612" s="34"/>
      <c r="C612" s="32"/>
      <c r="D612" s="25"/>
    </row>
    <row r="613" spans="1:4" x14ac:dyDescent="0.3">
      <c r="A613" s="37"/>
      <c r="B613" s="34"/>
      <c r="C613" s="32"/>
      <c r="D613" s="25"/>
    </row>
    <row r="614" spans="1:4" x14ac:dyDescent="0.3">
      <c r="A614" s="38" t="s">
        <v>298</v>
      </c>
      <c r="B614" s="35" t="s">
        <v>297</v>
      </c>
      <c r="C614" s="290">
        <f>B590</f>
        <v>0</v>
      </c>
      <c r="D614" s="291"/>
    </row>
    <row r="615" spans="1:4" ht="15" thickBot="1" x14ac:dyDescent="0.35">
      <c r="A615" s="36" t="s">
        <v>246</v>
      </c>
      <c r="B615" s="33" t="s">
        <v>299</v>
      </c>
      <c r="C615" s="353">
        <f>B591</f>
        <v>0</v>
      </c>
      <c r="D615" s="354"/>
    </row>
    <row r="623" spans="1:4" ht="15" thickBot="1" x14ac:dyDescent="0.35"/>
    <row r="624" spans="1:4" x14ac:dyDescent="0.3">
      <c r="A624" s="294"/>
      <c r="B624" s="295"/>
      <c r="C624" s="295"/>
      <c r="D624" s="296"/>
    </row>
    <row r="625" spans="1:4" x14ac:dyDescent="0.3">
      <c r="A625" s="307"/>
      <c r="B625" s="308"/>
      <c r="C625" s="308"/>
      <c r="D625" s="309"/>
    </row>
    <row r="626" spans="1:4" ht="15" thickBot="1" x14ac:dyDescent="0.35">
      <c r="A626" s="307"/>
      <c r="B626" s="308"/>
      <c r="C626" s="308"/>
      <c r="D626" s="309"/>
    </row>
    <row r="627" spans="1:4" ht="25.8" thickBot="1" x14ac:dyDescent="0.35">
      <c r="A627" s="350" t="s">
        <v>0</v>
      </c>
      <c r="B627" s="351"/>
      <c r="C627" s="351"/>
      <c r="D627" s="352"/>
    </row>
    <row r="628" spans="1:4" x14ac:dyDescent="0.3">
      <c r="A628" s="11" t="s">
        <v>1</v>
      </c>
      <c r="B628" s="3">
        <f>'ROL DE AGOSTO'!D631</f>
        <v>0</v>
      </c>
      <c r="C628" s="3"/>
      <c r="D628" s="12"/>
    </row>
    <row r="629" spans="1:4" x14ac:dyDescent="0.3">
      <c r="A629" s="11" t="s">
        <v>2</v>
      </c>
      <c r="B629" s="55">
        <f>'ROL DE AGOSTO'!C631</f>
        <v>0</v>
      </c>
      <c r="C629" s="4"/>
      <c r="D629" s="13"/>
    </row>
    <row r="630" spans="1:4" x14ac:dyDescent="0.3">
      <c r="A630" s="11" t="s">
        <v>3</v>
      </c>
      <c r="B630" s="3">
        <f>'ROL DE AGOSTO'!E631</f>
        <v>0</v>
      </c>
      <c r="C630" s="4"/>
      <c r="D630" s="14"/>
    </row>
    <row r="631" spans="1:4" x14ac:dyDescent="0.3">
      <c r="A631" s="11" t="s">
        <v>26</v>
      </c>
      <c r="B631" s="3">
        <f>'ROL DE AGOSTO'!A631</f>
        <v>0</v>
      </c>
      <c r="C631" s="4"/>
      <c r="D631" s="15"/>
    </row>
    <row r="632" spans="1:4" x14ac:dyDescent="0.3">
      <c r="A632" s="11" t="s">
        <v>99</v>
      </c>
      <c r="B632" s="55">
        <f>'ROL DE AGOSTO'!B631</f>
        <v>0</v>
      </c>
      <c r="C632" s="4"/>
      <c r="D632" s="15"/>
    </row>
    <row r="633" spans="1:4" x14ac:dyDescent="0.3">
      <c r="A633" s="203" t="s">
        <v>94</v>
      </c>
      <c r="B633" s="204"/>
      <c r="C633" s="205" t="s">
        <v>5</v>
      </c>
      <c r="D633" s="206" t="s">
        <v>6</v>
      </c>
    </row>
    <row r="634" spans="1:4" x14ac:dyDescent="0.3">
      <c r="A634" s="18"/>
      <c r="B634" s="6"/>
      <c r="C634" s="7"/>
      <c r="D634" s="19"/>
    </row>
    <row r="635" spans="1:4" x14ac:dyDescent="0.3">
      <c r="A635" s="26" t="s">
        <v>16</v>
      </c>
      <c r="B635" s="27"/>
      <c r="C635" s="28">
        <f>'ROL DE AGOSTO'!F631</f>
        <v>0</v>
      </c>
      <c r="D635" s="29"/>
    </row>
    <row r="636" spans="1:4" x14ac:dyDescent="0.3">
      <c r="A636" s="26" t="s">
        <v>105</v>
      </c>
      <c r="B636" s="27"/>
      <c r="C636" s="28"/>
      <c r="D636" s="29"/>
    </row>
    <row r="637" spans="1:4" x14ac:dyDescent="0.3">
      <c r="A637" s="26" t="s">
        <v>8</v>
      </c>
      <c r="B637" s="27"/>
      <c r="C637" s="28"/>
      <c r="D637" s="29"/>
    </row>
    <row r="638" spans="1:4" x14ac:dyDescent="0.3">
      <c r="A638" s="26" t="s">
        <v>9</v>
      </c>
      <c r="B638" s="27"/>
      <c r="C638" s="28"/>
      <c r="D638" s="29"/>
    </row>
    <row r="639" spans="1:4" ht="24" x14ac:dyDescent="0.3">
      <c r="A639" s="26"/>
      <c r="B639" s="27" t="s">
        <v>10</v>
      </c>
      <c r="C639" s="28"/>
      <c r="D639" s="29">
        <f>'ROL DE AGOSTO'!L631</f>
        <v>0</v>
      </c>
    </row>
    <row r="640" spans="1:4" ht="24" x14ac:dyDescent="0.3">
      <c r="A640" s="26"/>
      <c r="B640" s="27" t="s">
        <v>11</v>
      </c>
      <c r="C640" s="28"/>
      <c r="D640" s="29">
        <f>'ROL DE AGOSTO'!O631</f>
        <v>0</v>
      </c>
    </row>
    <row r="641" spans="1:4" x14ac:dyDescent="0.3">
      <c r="A641" s="26"/>
      <c r="B641" s="27" t="s">
        <v>55</v>
      </c>
      <c r="C641" s="28"/>
      <c r="D641" s="29">
        <f>'ROL DE AGOSTO'!S631</f>
        <v>0</v>
      </c>
    </row>
    <row r="642" spans="1:4" ht="24" x14ac:dyDescent="0.3">
      <c r="A642" s="26"/>
      <c r="B642" s="27" t="s">
        <v>18</v>
      </c>
      <c r="C642" s="28"/>
      <c r="D642" s="29">
        <f>'ROL DE AGOSTO'!P631</f>
        <v>0</v>
      </c>
    </row>
    <row r="643" spans="1:4" x14ac:dyDescent="0.3">
      <c r="A643" s="207"/>
      <c r="B643" s="208" t="s">
        <v>12</v>
      </c>
      <c r="C643" s="209">
        <f>SUM(C635:C642)</f>
        <v>0</v>
      </c>
      <c r="D643" s="210">
        <f>SUM(D635:D642)</f>
        <v>0</v>
      </c>
    </row>
    <row r="644" spans="1:4" ht="28.2" x14ac:dyDescent="0.3">
      <c r="A644" s="21"/>
      <c r="B644" s="45"/>
      <c r="C644" s="211" t="s">
        <v>13</v>
      </c>
      <c r="D644" s="212">
        <f>+C643-D643</f>
        <v>0</v>
      </c>
    </row>
    <row r="645" spans="1:4" ht="15" thickBot="1" x14ac:dyDescent="0.35">
      <c r="A645" s="23"/>
      <c r="B645" s="4" t="s">
        <v>14</v>
      </c>
      <c r="C645" s="2"/>
      <c r="D645" s="24"/>
    </row>
    <row r="646" spans="1:4" x14ac:dyDescent="0.3">
      <c r="A646" s="213" t="s">
        <v>28</v>
      </c>
      <c r="B646" s="213" t="s">
        <v>93</v>
      </c>
      <c r="C646" s="348" t="s">
        <v>30</v>
      </c>
      <c r="D646" s="349"/>
    </row>
    <row r="647" spans="1:4" x14ac:dyDescent="0.3">
      <c r="A647" s="37"/>
      <c r="B647" s="34"/>
      <c r="C647" s="32"/>
      <c r="D647" s="25"/>
    </row>
    <row r="648" spans="1:4" x14ac:dyDescent="0.3">
      <c r="A648" s="37"/>
      <c r="B648" s="34"/>
      <c r="C648" s="32"/>
      <c r="D648" s="25"/>
    </row>
    <row r="649" spans="1:4" x14ac:dyDescent="0.3">
      <c r="A649" s="37"/>
      <c r="B649" s="34"/>
      <c r="C649" s="32"/>
      <c r="D649" s="25"/>
    </row>
    <row r="650" spans="1:4" x14ac:dyDescent="0.3">
      <c r="A650" s="37"/>
      <c r="B650" s="34"/>
      <c r="C650" s="32"/>
      <c r="D650" s="25"/>
    </row>
    <row r="651" spans="1:4" x14ac:dyDescent="0.3">
      <c r="A651" s="37"/>
      <c r="B651" s="34"/>
      <c r="C651" s="32"/>
      <c r="D651" s="25"/>
    </row>
    <row r="652" spans="1:4" x14ac:dyDescent="0.3">
      <c r="A652" s="38" t="s">
        <v>298</v>
      </c>
      <c r="B652" s="35" t="s">
        <v>297</v>
      </c>
      <c r="C652" s="290">
        <f>'ROL INDIVIDUAL'!B628</f>
        <v>0</v>
      </c>
      <c r="D652" s="291"/>
    </row>
    <row r="653" spans="1:4" ht="15" thickBot="1" x14ac:dyDescent="0.35">
      <c r="A653" s="36" t="s">
        <v>246</v>
      </c>
      <c r="B653" s="33" t="s">
        <v>299</v>
      </c>
      <c r="C653" s="353">
        <f>B629</f>
        <v>0</v>
      </c>
      <c r="D653" s="354"/>
    </row>
    <row r="654" spans="1:4" x14ac:dyDescent="0.3">
      <c r="A654" s="214"/>
      <c r="B654" s="58"/>
      <c r="C654" s="59"/>
      <c r="D654" s="215"/>
    </row>
    <row r="655" spans="1:4" ht="15" thickBot="1" x14ac:dyDescent="0.35">
      <c r="A655" s="214"/>
      <c r="B655" s="58"/>
      <c r="C655" s="59"/>
      <c r="D655" s="215"/>
    </row>
    <row r="656" spans="1:4" x14ac:dyDescent="0.3">
      <c r="A656" s="294"/>
      <c r="B656" s="295"/>
      <c r="C656" s="295"/>
      <c r="D656" s="296"/>
    </row>
    <row r="657" spans="1:4" x14ac:dyDescent="0.3">
      <c r="A657" s="307"/>
      <c r="B657" s="308"/>
      <c r="C657" s="308"/>
      <c r="D657" s="309"/>
    </row>
    <row r="658" spans="1:4" ht="15" thickBot="1" x14ac:dyDescent="0.35">
      <c r="A658" s="307"/>
      <c r="B658" s="308"/>
      <c r="C658" s="308"/>
      <c r="D658" s="309"/>
    </row>
    <row r="659" spans="1:4" ht="25.8" thickBot="1" x14ac:dyDescent="0.35">
      <c r="A659" s="350" t="s">
        <v>0</v>
      </c>
      <c r="B659" s="351"/>
      <c r="C659" s="351"/>
      <c r="D659" s="352"/>
    </row>
    <row r="660" spans="1:4" x14ac:dyDescent="0.3">
      <c r="A660" s="11" t="s">
        <v>1</v>
      </c>
      <c r="B660" s="3">
        <f>'ROL DE AGOSTO'!D632</f>
        <v>0</v>
      </c>
      <c r="C660" s="3"/>
      <c r="D660" s="12"/>
    </row>
    <row r="661" spans="1:4" x14ac:dyDescent="0.3">
      <c r="A661" s="11" t="s">
        <v>2</v>
      </c>
      <c r="B661" s="10">
        <f>'ROL DE AGOSTO'!C632</f>
        <v>0</v>
      </c>
      <c r="C661" s="4"/>
      <c r="D661" s="13"/>
    </row>
    <row r="662" spans="1:4" x14ac:dyDescent="0.3">
      <c r="A662" s="11" t="s">
        <v>3</v>
      </c>
      <c r="B662" s="3">
        <f>'ROL DE AGOSTO'!E632</f>
        <v>0</v>
      </c>
      <c r="C662" s="4"/>
      <c r="D662" s="14"/>
    </row>
    <row r="663" spans="1:4" x14ac:dyDescent="0.3">
      <c r="A663" s="11" t="s">
        <v>26</v>
      </c>
      <c r="B663" s="3">
        <f>'ROL DE AGOSTO'!A632</f>
        <v>0</v>
      </c>
      <c r="C663" s="4"/>
      <c r="D663" s="15"/>
    </row>
    <row r="664" spans="1:4" x14ac:dyDescent="0.3">
      <c r="A664" s="11" t="s">
        <v>99</v>
      </c>
      <c r="B664" s="55">
        <f>'ROL DE AGOSTO'!B631</f>
        <v>0</v>
      </c>
      <c r="C664" s="4"/>
      <c r="D664" s="15"/>
    </row>
    <row r="665" spans="1:4" x14ac:dyDescent="0.3">
      <c r="A665" s="203" t="s">
        <v>94</v>
      </c>
      <c r="B665" s="204"/>
      <c r="C665" s="205" t="s">
        <v>5</v>
      </c>
      <c r="D665" s="206" t="s">
        <v>6</v>
      </c>
    </row>
    <row r="666" spans="1:4" x14ac:dyDescent="0.3">
      <c r="A666" s="18"/>
      <c r="B666" s="6"/>
      <c r="C666" s="7"/>
      <c r="D666" s="19"/>
    </row>
    <row r="667" spans="1:4" x14ac:dyDescent="0.3">
      <c r="A667" s="26" t="s">
        <v>16</v>
      </c>
      <c r="B667" s="27"/>
      <c r="C667" s="28">
        <f>'ROL DE AGOSTO'!F632</f>
        <v>0</v>
      </c>
      <c r="D667" s="29"/>
    </row>
    <row r="668" spans="1:4" x14ac:dyDescent="0.3">
      <c r="A668" s="26" t="s">
        <v>105</v>
      </c>
      <c r="B668" s="27"/>
      <c r="C668" s="28"/>
      <c r="D668" s="29"/>
    </row>
    <row r="669" spans="1:4" x14ac:dyDescent="0.3">
      <c r="A669" s="26" t="s">
        <v>8</v>
      </c>
      <c r="B669" s="27"/>
      <c r="C669" s="28"/>
      <c r="D669" s="29"/>
    </row>
    <row r="670" spans="1:4" x14ac:dyDescent="0.3">
      <c r="A670" s="26" t="s">
        <v>9</v>
      </c>
      <c r="B670" s="27"/>
      <c r="C670" s="28"/>
      <c r="D670" s="29"/>
    </row>
    <row r="671" spans="1:4" ht="24" x14ac:dyDescent="0.3">
      <c r="A671" s="26"/>
      <c r="B671" s="27" t="s">
        <v>10</v>
      </c>
      <c r="C671" s="28"/>
      <c r="D671" s="29">
        <f>'ROL DE AGOSTO'!L632</f>
        <v>0</v>
      </c>
    </row>
    <row r="672" spans="1:4" ht="24" x14ac:dyDescent="0.3">
      <c r="A672" s="26"/>
      <c r="B672" s="27" t="s">
        <v>11</v>
      </c>
      <c r="C672" s="28"/>
      <c r="D672" s="29">
        <f>'ROL DE AGOSTO'!O632</f>
        <v>0</v>
      </c>
    </row>
    <row r="673" spans="1:4" x14ac:dyDescent="0.3">
      <c r="A673" s="26"/>
      <c r="B673" s="27" t="s">
        <v>55</v>
      </c>
      <c r="C673" s="28"/>
      <c r="D673" s="29">
        <f>'ROL DE AGOSTO'!S632</f>
        <v>0</v>
      </c>
    </row>
    <row r="674" spans="1:4" ht="24" x14ac:dyDescent="0.3">
      <c r="A674" s="26"/>
      <c r="B674" s="27" t="s">
        <v>18</v>
      </c>
      <c r="C674" s="28"/>
      <c r="D674" s="29">
        <f>'ROL DE AGOSTO'!P632</f>
        <v>0</v>
      </c>
    </row>
    <row r="675" spans="1:4" x14ac:dyDescent="0.3">
      <c r="A675" s="207"/>
      <c r="B675" s="208" t="s">
        <v>12</v>
      </c>
      <c r="C675" s="209">
        <f>SUM(C667:C674)</f>
        <v>0</v>
      </c>
      <c r="D675" s="210">
        <f>SUM(D667:D674)</f>
        <v>0</v>
      </c>
    </row>
    <row r="676" spans="1:4" ht="28.2" x14ac:dyDescent="0.3">
      <c r="A676" s="21"/>
      <c r="B676" s="45"/>
      <c r="C676" s="211" t="s">
        <v>13</v>
      </c>
      <c r="D676" s="212">
        <f>+C675-D675</f>
        <v>0</v>
      </c>
    </row>
    <row r="677" spans="1:4" ht="15" thickBot="1" x14ac:dyDescent="0.35">
      <c r="A677" s="23"/>
      <c r="B677" s="4" t="s">
        <v>14</v>
      </c>
      <c r="C677" s="2"/>
      <c r="D677" s="24"/>
    </row>
    <row r="678" spans="1:4" x14ac:dyDescent="0.3">
      <c r="A678" s="213" t="s">
        <v>28</v>
      </c>
      <c r="B678" s="213" t="s">
        <v>93</v>
      </c>
      <c r="C678" s="348" t="s">
        <v>30</v>
      </c>
      <c r="D678" s="349"/>
    </row>
    <row r="679" spans="1:4" x14ac:dyDescent="0.3">
      <c r="A679" s="37"/>
      <c r="B679" s="34"/>
      <c r="C679" s="32"/>
      <c r="D679" s="25"/>
    </row>
    <row r="680" spans="1:4" x14ac:dyDescent="0.3">
      <c r="A680" s="37"/>
      <c r="B680" s="34"/>
      <c r="C680" s="32"/>
      <c r="D680" s="25"/>
    </row>
    <row r="681" spans="1:4" x14ac:dyDescent="0.3">
      <c r="A681" s="37"/>
      <c r="B681" s="34"/>
      <c r="C681" s="32"/>
      <c r="D681" s="25"/>
    </row>
    <row r="682" spans="1:4" x14ac:dyDescent="0.3">
      <c r="A682" s="37"/>
      <c r="B682" s="34"/>
      <c r="C682" s="32"/>
      <c r="D682" s="25"/>
    </row>
    <row r="683" spans="1:4" x14ac:dyDescent="0.3">
      <c r="A683" s="37"/>
      <c r="B683" s="34"/>
      <c r="C683" s="32"/>
      <c r="D683" s="25"/>
    </row>
    <row r="684" spans="1:4" x14ac:dyDescent="0.3">
      <c r="A684" s="38" t="s">
        <v>298</v>
      </c>
      <c r="B684" s="35" t="s">
        <v>297</v>
      </c>
      <c r="C684" s="290">
        <f>B660</f>
        <v>0</v>
      </c>
      <c r="D684" s="291"/>
    </row>
    <row r="685" spans="1:4" ht="15" thickBot="1" x14ac:dyDescent="0.35">
      <c r="A685" s="36" t="s">
        <v>246</v>
      </c>
      <c r="B685" s="33" t="s">
        <v>299</v>
      </c>
      <c r="C685" s="353">
        <f>B661</f>
        <v>0</v>
      </c>
      <c r="D685" s="354"/>
    </row>
  </sheetData>
  <mergeCells count="100">
    <mergeCell ref="C678:D678"/>
    <mergeCell ref="C684:D684"/>
    <mergeCell ref="C685:D685"/>
    <mergeCell ref="A627:D627"/>
    <mergeCell ref="C646:D646"/>
    <mergeCell ref="C652:D652"/>
    <mergeCell ref="C653:D653"/>
    <mergeCell ref="A656:D658"/>
    <mergeCell ref="A659:D659"/>
    <mergeCell ref="A624:D626"/>
    <mergeCell ref="C545:D545"/>
    <mergeCell ref="A554:D556"/>
    <mergeCell ref="A557:D557"/>
    <mergeCell ref="C576:D576"/>
    <mergeCell ref="C582:D582"/>
    <mergeCell ref="C583:D583"/>
    <mergeCell ref="A586:D588"/>
    <mergeCell ref="A589:D589"/>
    <mergeCell ref="C608:D608"/>
    <mergeCell ref="C614:D614"/>
    <mergeCell ref="C615:D615"/>
    <mergeCell ref="C544:D544"/>
    <mergeCell ref="C468:D468"/>
    <mergeCell ref="C474:D474"/>
    <mergeCell ref="C475:D475"/>
    <mergeCell ref="A484:D486"/>
    <mergeCell ref="A487:D487"/>
    <mergeCell ref="C506:D506"/>
    <mergeCell ref="C512:D512"/>
    <mergeCell ref="C513:D513"/>
    <mergeCell ref="A516:D518"/>
    <mergeCell ref="A519:D519"/>
    <mergeCell ref="C538:D538"/>
    <mergeCell ref="A449:D449"/>
    <mergeCell ref="A376:D378"/>
    <mergeCell ref="A379:D379"/>
    <mergeCell ref="C398:D398"/>
    <mergeCell ref="C404:D404"/>
    <mergeCell ref="C405:D405"/>
    <mergeCell ref="A414:D416"/>
    <mergeCell ref="A417:D417"/>
    <mergeCell ref="C436:D436"/>
    <mergeCell ref="C442:D442"/>
    <mergeCell ref="C443:D443"/>
    <mergeCell ref="A446:D448"/>
    <mergeCell ref="C373:D373"/>
    <mergeCell ref="C302:D302"/>
    <mergeCell ref="C303:D303"/>
    <mergeCell ref="A306:D308"/>
    <mergeCell ref="A309:D309"/>
    <mergeCell ref="C328:D328"/>
    <mergeCell ref="C334:D334"/>
    <mergeCell ref="C335:D335"/>
    <mergeCell ref="A344:D346"/>
    <mergeCell ref="A347:D347"/>
    <mergeCell ref="C366:D366"/>
    <mergeCell ref="C372:D372"/>
    <mergeCell ref="C296:D296"/>
    <mergeCell ref="A207:D207"/>
    <mergeCell ref="C226:D226"/>
    <mergeCell ref="C232:D232"/>
    <mergeCell ref="C233:D233"/>
    <mergeCell ref="A236:D238"/>
    <mergeCell ref="A239:D239"/>
    <mergeCell ref="C258:D258"/>
    <mergeCell ref="C264:D264"/>
    <mergeCell ref="C265:D265"/>
    <mergeCell ref="A274:D276"/>
    <mergeCell ref="A277:D277"/>
    <mergeCell ref="A204:D206"/>
    <mergeCell ref="A134:D136"/>
    <mergeCell ref="A137:D137"/>
    <mergeCell ref="C156:D156"/>
    <mergeCell ref="C162:D162"/>
    <mergeCell ref="C163:D163"/>
    <mergeCell ref="A166:D168"/>
    <mergeCell ref="A169:D169"/>
    <mergeCell ref="C188:D188"/>
    <mergeCell ref="C194:D194"/>
    <mergeCell ref="C195:D195"/>
    <mergeCell ref="C130:D130"/>
    <mergeCell ref="C97:D97"/>
    <mergeCell ref="C98:D98"/>
    <mergeCell ref="A101:D103"/>
    <mergeCell ref="A104:D104"/>
    <mergeCell ref="C123:D123"/>
    <mergeCell ref="C129:D129"/>
    <mergeCell ref="C91:D91"/>
    <mergeCell ref="A33:D35"/>
    <mergeCell ref="A36:D36"/>
    <mergeCell ref="C30:D30"/>
    <mergeCell ref="A1:D3"/>
    <mergeCell ref="A4:D4"/>
    <mergeCell ref="C23:D23"/>
    <mergeCell ref="C29:D29"/>
    <mergeCell ref="C55:D55"/>
    <mergeCell ref="C61:D61"/>
    <mergeCell ref="C62:D62"/>
    <mergeCell ref="A69:D71"/>
    <mergeCell ref="A72:D72"/>
  </mergeCells>
  <pageMargins left="0.7" right="0.7" top="0.75" bottom="0.75" header="0.3" footer="0.3"/>
  <pageSetup paperSize="9" scale="65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68"/>
  <sheetViews>
    <sheetView zoomScale="75" zoomScaleNormal="75" workbookViewId="0">
      <selection activeCell="T8" sqref="T8"/>
    </sheetView>
  </sheetViews>
  <sheetFormatPr baseColWidth="10" defaultRowHeight="15.6" outlineLevelCol="1" x14ac:dyDescent="0.3"/>
  <cols>
    <col min="1" max="1" width="8.6640625" bestFit="1" customWidth="1"/>
    <col min="2" max="2" width="7.33203125" customWidth="1"/>
    <col min="3" max="3" width="12.77734375" bestFit="1" customWidth="1"/>
    <col min="4" max="4" width="33.33203125" customWidth="1"/>
    <col min="5" max="5" width="18.109375" customWidth="1"/>
    <col min="6" max="6" width="10.44140625" customWidth="1"/>
    <col min="7" max="7" width="7.77734375" customWidth="1" outlineLevel="1"/>
    <col min="8" max="8" width="9.33203125" customWidth="1" outlineLevel="1"/>
    <col min="9" max="9" width="9" customWidth="1" outlineLevel="1"/>
    <col min="10" max="10" width="8.33203125" customWidth="1" outlineLevel="1"/>
    <col min="11" max="11" width="9.77734375" customWidth="1" outlineLevel="1"/>
    <col min="12" max="12" width="9.88671875" customWidth="1" outlineLevel="1"/>
    <col min="13" max="13" width="10.109375" customWidth="1" outlineLevel="1"/>
    <col min="14" max="14" width="7" customWidth="1" outlineLevel="1"/>
    <col min="15" max="15" width="6.77734375" customWidth="1" outlineLevel="1"/>
    <col min="16" max="16" width="7.6640625" customWidth="1" outlineLevel="1"/>
    <col min="17" max="17" width="7.77734375" customWidth="1" outlineLevel="1"/>
    <col min="18" max="18" width="8" customWidth="1"/>
    <col min="21" max="21" width="24" customWidth="1"/>
    <col min="22" max="22" width="15.5546875" style="123" customWidth="1"/>
    <col min="23" max="23" width="18.33203125" style="126" customWidth="1"/>
    <col min="24" max="24" width="13.88671875" customWidth="1"/>
    <col min="25" max="25" width="10" customWidth="1"/>
  </cols>
  <sheetData>
    <row r="1" spans="1:24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/>
    </row>
    <row r="2" spans="1:24" x14ac:dyDescent="0.3">
      <c r="A2" s="307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9"/>
    </row>
    <row r="3" spans="1:24" x14ac:dyDescent="0.3">
      <c r="A3" s="307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9"/>
    </row>
    <row r="4" spans="1:24" x14ac:dyDescent="0.3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9"/>
    </row>
    <row r="5" spans="1:24" ht="16.2" thickBot="1" x14ac:dyDescent="0.35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2"/>
    </row>
    <row r="6" spans="1:24" ht="18.600000000000001" thickBot="1" x14ac:dyDescent="0.4">
      <c r="A6" s="318" t="s">
        <v>309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1:24" ht="55.2" customHeight="1" x14ac:dyDescent="0.3">
      <c r="A7" s="116" t="s">
        <v>143</v>
      </c>
      <c r="B7" s="117" t="s">
        <v>144</v>
      </c>
      <c r="C7" s="117" t="s">
        <v>145</v>
      </c>
      <c r="D7" s="117" t="s">
        <v>146</v>
      </c>
      <c r="E7" s="117" t="s">
        <v>147</v>
      </c>
      <c r="F7" s="117" t="s">
        <v>148</v>
      </c>
      <c r="G7" s="117" t="s">
        <v>177</v>
      </c>
      <c r="H7" s="117" t="s">
        <v>174</v>
      </c>
      <c r="I7" s="117" t="s">
        <v>149</v>
      </c>
      <c r="J7" s="117" t="s">
        <v>150</v>
      </c>
      <c r="K7" s="117" t="s">
        <v>152</v>
      </c>
      <c r="L7" s="117" t="s">
        <v>186</v>
      </c>
      <c r="M7" s="117" t="s">
        <v>154</v>
      </c>
      <c r="N7" s="117" t="s">
        <v>155</v>
      </c>
      <c r="O7" s="117" t="s">
        <v>156</v>
      </c>
      <c r="P7" s="117" t="s">
        <v>157</v>
      </c>
      <c r="Q7" s="117" t="s">
        <v>158</v>
      </c>
      <c r="R7" s="117" t="s">
        <v>159</v>
      </c>
      <c r="S7" s="117" t="s">
        <v>160</v>
      </c>
      <c r="T7" s="117" t="s">
        <v>13</v>
      </c>
      <c r="U7" s="118" t="s">
        <v>161</v>
      </c>
      <c r="V7" s="129" t="s">
        <v>220</v>
      </c>
      <c r="W7" s="130" t="s">
        <v>229</v>
      </c>
      <c r="X7" s="127" t="s">
        <v>219</v>
      </c>
    </row>
    <row r="8" spans="1:24" ht="28.8" customHeight="1" x14ac:dyDescent="0.3">
      <c r="A8" s="71" t="s">
        <v>136</v>
      </c>
      <c r="B8" s="71">
        <v>2023</v>
      </c>
      <c r="C8" s="94">
        <v>1500721202</v>
      </c>
      <c r="D8" s="64" t="s">
        <v>163</v>
      </c>
      <c r="E8" s="65" t="s">
        <v>301</v>
      </c>
      <c r="F8" s="63">
        <v>1340</v>
      </c>
      <c r="G8" s="63">
        <v>30</v>
      </c>
      <c r="H8" s="72">
        <f t="shared" ref="H8:H13" si="0">ROUND(F8/30*G8,2)</f>
        <v>1340</v>
      </c>
      <c r="I8" s="72"/>
      <c r="J8" s="63"/>
      <c r="K8" s="119">
        <f t="shared" ref="K8:K13" si="1">ROUND(H8+I8+J8,2)</f>
        <v>1340</v>
      </c>
      <c r="L8" s="83">
        <f t="shared" ref="L8:L13" si="2">ROUND(H8*11.45%,2)</f>
        <v>153.43</v>
      </c>
      <c r="M8" s="83">
        <f t="shared" ref="M8:M13" si="3">ROUND(H8*11.65%,2)</f>
        <v>156.11000000000001</v>
      </c>
      <c r="N8" s="63">
        <v>51</v>
      </c>
      <c r="O8" s="63"/>
      <c r="P8" s="63"/>
      <c r="Q8" s="63"/>
      <c r="R8" s="120">
        <f t="shared" ref="R8:R13" si="4">L8+O8+P8+Q8</f>
        <v>153.43</v>
      </c>
      <c r="S8" s="240">
        <f>1340*2/7</f>
        <v>382.85714285714283</v>
      </c>
      <c r="T8" s="140">
        <f t="shared" ref="T8:T13" si="5">+K8-R8-S8</f>
        <v>803.71285714285705</v>
      </c>
      <c r="U8" s="63"/>
      <c r="V8" s="123" t="s">
        <v>207</v>
      </c>
      <c r="W8" s="126" t="s">
        <v>206</v>
      </c>
      <c r="X8">
        <v>1700511</v>
      </c>
    </row>
    <row r="9" spans="1:24" ht="28.8" customHeight="1" x14ac:dyDescent="0.3">
      <c r="A9" s="71" t="s">
        <v>136</v>
      </c>
      <c r="B9" s="71">
        <v>2023</v>
      </c>
      <c r="C9" s="95" t="s">
        <v>198</v>
      </c>
      <c r="D9" s="66" t="s">
        <v>164</v>
      </c>
      <c r="E9" s="65" t="s">
        <v>169</v>
      </c>
      <c r="F9" s="63">
        <v>536</v>
      </c>
      <c r="G9" s="63">
        <v>30</v>
      </c>
      <c r="H9" s="72">
        <f t="shared" si="0"/>
        <v>536</v>
      </c>
      <c r="I9" s="72"/>
      <c r="J9" s="63"/>
      <c r="K9" s="119">
        <f t="shared" si="1"/>
        <v>536</v>
      </c>
      <c r="L9" s="83">
        <f t="shared" si="2"/>
        <v>61.37</v>
      </c>
      <c r="M9" s="83">
        <f t="shared" si="3"/>
        <v>62.44</v>
      </c>
      <c r="N9" s="63">
        <v>51</v>
      </c>
      <c r="O9" s="241"/>
      <c r="P9" s="122">
        <v>147</v>
      </c>
      <c r="Q9" s="63"/>
      <c r="R9" s="120">
        <f t="shared" si="4"/>
        <v>208.37</v>
      </c>
      <c r="S9" s="122"/>
      <c r="T9" s="140">
        <f t="shared" si="5"/>
        <v>327.63</v>
      </c>
      <c r="U9" s="63"/>
      <c r="V9" s="123" t="s">
        <v>211</v>
      </c>
      <c r="W9" s="126" t="s">
        <v>205</v>
      </c>
      <c r="X9">
        <v>1410036</v>
      </c>
    </row>
    <row r="10" spans="1:24" ht="28.8" customHeight="1" x14ac:dyDescent="0.3">
      <c r="A10" s="71" t="s">
        <v>136</v>
      </c>
      <c r="B10" s="71">
        <v>2023</v>
      </c>
      <c r="C10" s="95" t="s">
        <v>199</v>
      </c>
      <c r="D10" s="64" t="s">
        <v>302</v>
      </c>
      <c r="E10" s="65" t="s">
        <v>170</v>
      </c>
      <c r="F10" s="63">
        <v>536</v>
      </c>
      <c r="G10" s="63">
        <v>30</v>
      </c>
      <c r="H10" s="72">
        <f t="shared" si="0"/>
        <v>536</v>
      </c>
      <c r="I10" s="72"/>
      <c r="J10" s="63"/>
      <c r="K10" s="119">
        <f t="shared" si="1"/>
        <v>536</v>
      </c>
      <c r="L10" s="83">
        <f t="shared" si="2"/>
        <v>61.37</v>
      </c>
      <c r="M10" s="83">
        <f t="shared" si="3"/>
        <v>62.44</v>
      </c>
      <c r="N10" s="63">
        <v>51</v>
      </c>
      <c r="O10" s="63"/>
      <c r="P10" s="103">
        <v>63.5</v>
      </c>
      <c r="Q10" s="63"/>
      <c r="R10" s="120">
        <f t="shared" si="4"/>
        <v>124.87</v>
      </c>
      <c r="S10" s="103">
        <f>536*3/6</f>
        <v>268</v>
      </c>
      <c r="T10" s="140">
        <f t="shared" si="5"/>
        <v>143.13</v>
      </c>
      <c r="U10" s="63"/>
      <c r="V10" s="123" t="s">
        <v>210</v>
      </c>
      <c r="W10" s="126" t="s">
        <v>205</v>
      </c>
      <c r="X10">
        <v>1410036</v>
      </c>
    </row>
    <row r="11" spans="1:24" ht="28.8" customHeight="1" x14ac:dyDescent="0.3">
      <c r="A11" s="71" t="s">
        <v>136</v>
      </c>
      <c r="B11" s="71">
        <v>2023</v>
      </c>
      <c r="C11" s="96">
        <v>1500367295</v>
      </c>
      <c r="D11" s="64" t="s">
        <v>166</v>
      </c>
      <c r="E11" s="65" t="s">
        <v>171</v>
      </c>
      <c r="F11" s="63">
        <v>536</v>
      </c>
      <c r="G11" s="63">
        <v>30</v>
      </c>
      <c r="H11" s="72">
        <f t="shared" si="0"/>
        <v>536</v>
      </c>
      <c r="I11" s="72"/>
      <c r="J11" s="63"/>
      <c r="K11" s="119">
        <f t="shared" si="1"/>
        <v>536</v>
      </c>
      <c r="L11" s="83">
        <f t="shared" si="2"/>
        <v>61.37</v>
      </c>
      <c r="M11" s="83">
        <f t="shared" si="3"/>
        <v>62.44</v>
      </c>
      <c r="N11" s="63">
        <v>51</v>
      </c>
      <c r="O11" s="63"/>
      <c r="P11" s="103">
        <v>85</v>
      </c>
      <c r="Q11" s="63"/>
      <c r="R11" s="120">
        <f>L11+O11+P11+Q11</f>
        <v>146.37</v>
      </c>
      <c r="S11" s="103">
        <f>536*3/6</f>
        <v>268</v>
      </c>
      <c r="T11" s="140">
        <f>+K11-R11-S11</f>
        <v>121.63</v>
      </c>
      <c r="U11" s="63"/>
      <c r="V11" s="123">
        <v>4005110329</v>
      </c>
      <c r="W11" s="126" t="s">
        <v>205</v>
      </c>
      <c r="X11">
        <v>1410036</v>
      </c>
    </row>
    <row r="12" spans="1:24" ht="28.8" customHeight="1" x14ac:dyDescent="0.3">
      <c r="A12" s="71" t="s">
        <v>136</v>
      </c>
      <c r="B12" s="71">
        <v>2023</v>
      </c>
      <c r="C12" s="97">
        <v>1500814940</v>
      </c>
      <c r="D12" s="66" t="s">
        <v>167</v>
      </c>
      <c r="E12" s="65" t="s">
        <v>172</v>
      </c>
      <c r="F12" s="63">
        <v>536</v>
      </c>
      <c r="G12" s="63">
        <v>30</v>
      </c>
      <c r="H12" s="72">
        <f t="shared" si="0"/>
        <v>536</v>
      </c>
      <c r="I12" s="72"/>
      <c r="J12" s="63"/>
      <c r="K12" s="119">
        <f t="shared" si="1"/>
        <v>536</v>
      </c>
      <c r="L12" s="83">
        <f t="shared" si="2"/>
        <v>61.37</v>
      </c>
      <c r="M12" s="83">
        <f t="shared" si="3"/>
        <v>62.44</v>
      </c>
      <c r="N12" s="63">
        <v>51</v>
      </c>
      <c r="O12" s="63"/>
      <c r="P12" s="103">
        <v>162.1</v>
      </c>
      <c r="Q12" s="63"/>
      <c r="R12" s="120">
        <f t="shared" si="4"/>
        <v>223.47</v>
      </c>
      <c r="S12" s="122">
        <f>536*3/7</f>
        <v>229.71428571428572</v>
      </c>
      <c r="T12" s="140">
        <f>+K12-R12-S12</f>
        <v>82.81571428571425</v>
      </c>
      <c r="U12" s="63"/>
      <c r="V12" s="123" t="s">
        <v>286</v>
      </c>
      <c r="W12" s="126" t="s">
        <v>209</v>
      </c>
      <c r="X12">
        <v>1600022</v>
      </c>
    </row>
    <row r="13" spans="1:24" ht="28.8" customHeight="1" x14ac:dyDescent="0.3">
      <c r="A13" s="71" t="s">
        <v>136</v>
      </c>
      <c r="B13" s="71">
        <v>2023</v>
      </c>
      <c r="C13" s="98" t="s">
        <v>200</v>
      </c>
      <c r="D13" s="67" t="s">
        <v>168</v>
      </c>
      <c r="E13" s="68" t="s">
        <v>173</v>
      </c>
      <c r="F13" s="63">
        <v>733</v>
      </c>
      <c r="G13" s="63">
        <v>30</v>
      </c>
      <c r="H13" s="72">
        <f t="shared" si="0"/>
        <v>733</v>
      </c>
      <c r="I13" s="72"/>
      <c r="J13" s="63"/>
      <c r="K13" s="119">
        <f t="shared" si="1"/>
        <v>733</v>
      </c>
      <c r="L13" s="83">
        <f t="shared" si="2"/>
        <v>83.93</v>
      </c>
      <c r="M13" s="83">
        <f t="shared" si="3"/>
        <v>85.39</v>
      </c>
      <c r="N13" s="63">
        <v>51</v>
      </c>
      <c r="O13" s="63"/>
      <c r="P13" s="63"/>
      <c r="Q13" s="63"/>
      <c r="R13" s="120">
        <f t="shared" si="4"/>
        <v>83.93</v>
      </c>
      <c r="S13" s="63"/>
      <c r="T13" s="140">
        <f t="shared" si="5"/>
        <v>649.06999999999994</v>
      </c>
      <c r="U13" s="63"/>
      <c r="V13" s="123" t="s">
        <v>208</v>
      </c>
      <c r="W13" s="126" t="s">
        <v>209</v>
      </c>
      <c r="X13">
        <v>1600022</v>
      </c>
    </row>
    <row r="14" spans="1:24" ht="28.8" customHeight="1" x14ac:dyDescent="0.3">
      <c r="A14" s="327" t="s">
        <v>185</v>
      </c>
      <c r="B14" s="328"/>
      <c r="C14" s="328"/>
      <c r="D14" s="328"/>
      <c r="E14" s="329"/>
      <c r="F14" s="149">
        <f>SUM(F8:F13)</f>
        <v>4217</v>
      </c>
      <c r="G14" s="149">
        <f t="shared" ref="G14:S14" si="6">SUM(G8:G13)</f>
        <v>180</v>
      </c>
      <c r="H14" s="149">
        <f t="shared" si="6"/>
        <v>4217</v>
      </c>
      <c r="I14" s="149">
        <f t="shared" si="6"/>
        <v>0</v>
      </c>
      <c r="J14" s="149">
        <f t="shared" si="6"/>
        <v>0</v>
      </c>
      <c r="K14" s="149">
        <f t="shared" si="6"/>
        <v>4217</v>
      </c>
      <c r="L14" s="149">
        <f>SUM(L8:L13)</f>
        <v>482.84000000000003</v>
      </c>
      <c r="M14" s="149">
        <f>SUM(M8:M13)</f>
        <v>491.26</v>
      </c>
      <c r="N14" s="149">
        <f t="shared" si="6"/>
        <v>306</v>
      </c>
      <c r="O14" s="149">
        <f t="shared" si="6"/>
        <v>0</v>
      </c>
      <c r="P14" s="149">
        <f t="shared" si="6"/>
        <v>457.6</v>
      </c>
      <c r="Q14" s="149">
        <f t="shared" si="6"/>
        <v>0</v>
      </c>
      <c r="R14" s="150">
        <f t="shared" si="6"/>
        <v>940.44</v>
      </c>
      <c r="S14" s="149">
        <f t="shared" si="6"/>
        <v>1148.5714285714287</v>
      </c>
      <c r="T14" s="155">
        <f>SUM(T8:T13)</f>
        <v>2127.9885714285715</v>
      </c>
      <c r="U14" s="93"/>
    </row>
    <row r="15" spans="1:24" x14ac:dyDescent="0.3">
      <c r="A15" s="69"/>
      <c r="B15" s="69"/>
      <c r="C15" s="80"/>
      <c r="D15" s="81"/>
      <c r="E15" s="82"/>
      <c r="F15" s="2"/>
      <c r="G15" s="2"/>
      <c r="H15" s="70"/>
      <c r="I15" s="2"/>
      <c r="J15" s="2"/>
      <c r="K15" s="2"/>
      <c r="L15" s="159">
        <f>H12*11.45%</f>
        <v>61.371999999999993</v>
      </c>
      <c r="M15" s="2"/>
      <c r="N15" s="2"/>
      <c r="O15" s="2"/>
      <c r="P15" s="2"/>
      <c r="Q15" s="2"/>
      <c r="R15" s="2"/>
      <c r="S15" s="2"/>
      <c r="T15" s="2"/>
      <c r="U15" s="2"/>
      <c r="W15" s="148">
        <f>T14+T38+T63</f>
        <v>7230.2914380952388</v>
      </c>
    </row>
    <row r="16" spans="1:24" x14ac:dyDescent="0.3">
      <c r="A16" s="69"/>
      <c r="B16" s="69"/>
      <c r="C16" s="80"/>
      <c r="D16" s="81"/>
      <c r="E16" s="330" t="s">
        <v>28</v>
      </c>
      <c r="F16" s="330"/>
      <c r="G16" s="330"/>
      <c r="H16" s="84"/>
      <c r="I16" s="85"/>
      <c r="J16" s="85"/>
      <c r="K16" s="86"/>
      <c r="L16" s="330" t="s">
        <v>187</v>
      </c>
      <c r="M16" s="330"/>
      <c r="N16" s="330"/>
      <c r="O16" s="330"/>
      <c r="P16" s="330"/>
      <c r="Q16" s="330"/>
      <c r="R16" s="2"/>
      <c r="S16" s="2"/>
      <c r="T16" s="2"/>
      <c r="U16" s="2"/>
    </row>
    <row r="17" spans="1:24" x14ac:dyDescent="0.3">
      <c r="A17" s="69"/>
      <c r="B17" s="69"/>
      <c r="C17" s="80"/>
      <c r="D17" s="81"/>
      <c r="E17" s="216"/>
      <c r="F17" s="216"/>
      <c r="G17" s="216"/>
      <c r="H17" s="84"/>
      <c r="I17" s="85"/>
      <c r="J17" s="85"/>
      <c r="K17" s="86"/>
      <c r="L17" s="216"/>
      <c r="M17" s="216"/>
      <c r="N17" s="216"/>
      <c r="O17" s="216"/>
      <c r="P17" s="216"/>
      <c r="Q17" s="216"/>
      <c r="R17" s="2"/>
      <c r="S17" s="2"/>
      <c r="T17" s="2"/>
      <c r="U17" s="2"/>
      <c r="W17" s="247">
        <f>SUM(T14+T38+T60+T62)</f>
        <v>6146.4754380952381</v>
      </c>
    </row>
    <row r="18" spans="1:24" x14ac:dyDescent="0.3">
      <c r="E18" s="145"/>
      <c r="F18" s="146"/>
      <c r="G18" s="145"/>
      <c r="H18" s="146"/>
      <c r="I18" s="85"/>
      <c r="J18" s="85"/>
      <c r="K18" s="88"/>
      <c r="L18" s="88"/>
      <c r="M18" s="88"/>
      <c r="N18" s="88"/>
      <c r="O18" s="88"/>
      <c r="P18" s="89"/>
      <c r="Q18" s="89"/>
    </row>
    <row r="19" spans="1:24" x14ac:dyDescent="0.3">
      <c r="E19" s="317" t="s">
        <v>188</v>
      </c>
      <c r="F19" s="317"/>
      <c r="G19" s="317"/>
      <c r="H19" s="317"/>
      <c r="I19" s="85"/>
      <c r="J19" s="85"/>
      <c r="K19" s="88"/>
      <c r="L19" s="331" t="s">
        <v>189</v>
      </c>
      <c r="M19" s="331"/>
      <c r="N19" s="331"/>
      <c r="O19" s="331"/>
      <c r="P19" s="331"/>
      <c r="Q19" s="331"/>
    </row>
    <row r="20" spans="1:24" x14ac:dyDescent="0.3">
      <c r="E20" s="316" t="s">
        <v>238</v>
      </c>
      <c r="F20" s="316"/>
      <c r="G20" s="316"/>
      <c r="H20" s="316"/>
      <c r="L20" s="316" t="s">
        <v>237</v>
      </c>
      <c r="M20" s="316"/>
      <c r="N20" s="316"/>
      <c r="O20" s="316"/>
      <c r="P20" s="316"/>
      <c r="Q20" s="316"/>
    </row>
    <row r="21" spans="1:24" ht="16.2" thickBot="1" x14ac:dyDescent="0.35">
      <c r="E21" s="217"/>
      <c r="F21" s="217"/>
      <c r="G21" s="217"/>
      <c r="H21" s="84"/>
      <c r="I21" s="85"/>
      <c r="J21" s="85"/>
      <c r="K21" s="88"/>
      <c r="L21" s="217"/>
      <c r="M21" s="217"/>
      <c r="N21" s="217"/>
      <c r="O21" s="217"/>
      <c r="P21" s="217"/>
      <c r="Q21" s="217"/>
    </row>
    <row r="22" spans="1:24" ht="25.2" customHeight="1" x14ac:dyDescent="0.3">
      <c r="A22" s="294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6"/>
    </row>
    <row r="23" spans="1:24" x14ac:dyDescent="0.3">
      <c r="A23" s="307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9"/>
    </row>
    <row r="24" spans="1:24" x14ac:dyDescent="0.3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9"/>
    </row>
    <row r="25" spans="1:24" x14ac:dyDescent="0.3">
      <c r="A25" s="307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9"/>
    </row>
    <row r="26" spans="1:24" ht="16.2" thickBot="1" x14ac:dyDescent="0.35">
      <c r="A26" s="307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9"/>
    </row>
    <row r="27" spans="1:24" ht="18.600000000000001" thickBot="1" x14ac:dyDescent="0.4">
      <c r="A27" s="321" t="s">
        <v>310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3"/>
    </row>
    <row r="28" spans="1:24" ht="57.6" x14ac:dyDescent="0.3">
      <c r="A28" s="108" t="s">
        <v>143</v>
      </c>
      <c r="B28" s="109" t="s">
        <v>144</v>
      </c>
      <c r="C28" s="109" t="s">
        <v>145</v>
      </c>
      <c r="D28" s="109" t="s">
        <v>146</v>
      </c>
      <c r="E28" s="109" t="s">
        <v>147</v>
      </c>
      <c r="F28" s="109" t="s">
        <v>148</v>
      </c>
      <c r="G28" s="109" t="s">
        <v>151</v>
      </c>
      <c r="H28" s="109" t="s">
        <v>174</v>
      </c>
      <c r="I28" s="109" t="s">
        <v>149</v>
      </c>
      <c r="J28" s="109" t="s">
        <v>150</v>
      </c>
      <c r="K28" s="109" t="s">
        <v>152</v>
      </c>
      <c r="L28" s="109" t="s">
        <v>153</v>
      </c>
      <c r="M28" s="109" t="s">
        <v>197</v>
      </c>
      <c r="N28" s="109" t="s">
        <v>155</v>
      </c>
      <c r="O28" s="109" t="s">
        <v>305</v>
      </c>
      <c r="P28" s="109" t="s">
        <v>157</v>
      </c>
      <c r="Q28" s="109" t="s">
        <v>158</v>
      </c>
      <c r="R28" s="109" t="s">
        <v>159</v>
      </c>
      <c r="S28" s="109" t="s">
        <v>160</v>
      </c>
      <c r="T28" s="109" t="s">
        <v>13</v>
      </c>
      <c r="U28" s="115" t="s">
        <v>161</v>
      </c>
      <c r="V28" s="131" t="s">
        <v>220</v>
      </c>
      <c r="W28" s="132" t="s">
        <v>229</v>
      </c>
      <c r="X28" s="133" t="s">
        <v>219</v>
      </c>
    </row>
    <row r="29" spans="1:24" ht="31.2" customHeight="1" x14ac:dyDescent="0.3">
      <c r="A29" s="220" t="s">
        <v>136</v>
      </c>
      <c r="B29" s="220">
        <v>2023</v>
      </c>
      <c r="C29" s="223" t="s">
        <v>179</v>
      </c>
      <c r="D29" s="223" t="s">
        <v>178</v>
      </c>
      <c r="E29" s="223" t="s">
        <v>183</v>
      </c>
      <c r="F29" s="225">
        <v>553</v>
      </c>
      <c r="G29" s="220">
        <v>30</v>
      </c>
      <c r="H29" s="226">
        <f>ROUND(F29/30*G29,2)</f>
        <v>553</v>
      </c>
      <c r="I29" s="220"/>
      <c r="J29" s="220"/>
      <c r="K29" s="227">
        <f>ROUND(H29+I29+J29,2)</f>
        <v>553</v>
      </c>
      <c r="L29" s="226">
        <f>F29*9.45%</f>
        <v>52.258499999999991</v>
      </c>
      <c r="M29" s="226">
        <f>F29*12.15%</f>
        <v>67.189499999999995</v>
      </c>
      <c r="N29" s="220">
        <v>71</v>
      </c>
      <c r="O29" s="242">
        <v>229</v>
      </c>
      <c r="P29" s="220"/>
      <c r="Q29" s="220"/>
      <c r="R29" s="226">
        <f t="shared" ref="R29:R37" si="7">L29+O29+P29+Q29</f>
        <v>281.25849999999997</v>
      </c>
      <c r="S29" s="228"/>
      <c r="T29" s="229">
        <f t="shared" ref="T29:T37" si="8">K29-R29-S29</f>
        <v>271.74150000000003</v>
      </c>
      <c r="U29" s="230"/>
      <c r="V29" s="123" t="s">
        <v>254</v>
      </c>
      <c r="W29" s="123" t="s">
        <v>209</v>
      </c>
      <c r="X29" s="231">
        <v>1600022</v>
      </c>
    </row>
    <row r="30" spans="1:24" ht="31.2" customHeight="1" x14ac:dyDescent="0.3">
      <c r="A30" s="220" t="s">
        <v>136</v>
      </c>
      <c r="B30" s="220">
        <v>2023</v>
      </c>
      <c r="C30" s="223" t="s">
        <v>77</v>
      </c>
      <c r="D30" s="223" t="s">
        <v>73</v>
      </c>
      <c r="E30" s="223" t="s">
        <v>74</v>
      </c>
      <c r="F30" s="225">
        <v>708</v>
      </c>
      <c r="G30" s="220">
        <v>30</v>
      </c>
      <c r="H30" s="226">
        <f t="shared" ref="H30:H37" si="9">ROUND(F30/30*G30,2)</f>
        <v>708</v>
      </c>
      <c r="I30" s="220"/>
      <c r="J30" s="220"/>
      <c r="K30" s="232">
        <f t="shared" ref="K30:K35" si="10">ROUND(H30+I30+J30,2)</f>
        <v>708</v>
      </c>
      <c r="L30" s="226">
        <f t="shared" ref="L30:L35" si="11">F30*9.45%</f>
        <v>66.905999999999992</v>
      </c>
      <c r="M30" s="226">
        <f t="shared" ref="M30:M35" si="12">F30*12.15%</f>
        <v>86.021999999999991</v>
      </c>
      <c r="N30" s="220">
        <v>71</v>
      </c>
      <c r="O30" s="228"/>
      <c r="P30" s="228"/>
      <c r="Q30" s="228"/>
      <c r="R30" s="226">
        <f t="shared" si="7"/>
        <v>66.905999999999992</v>
      </c>
      <c r="S30" s="243">
        <f>1416/9</f>
        <v>157.33333333333334</v>
      </c>
      <c r="T30" s="229">
        <f t="shared" si="8"/>
        <v>483.76066666666668</v>
      </c>
      <c r="U30" s="230"/>
      <c r="V30" s="123" t="s">
        <v>221</v>
      </c>
      <c r="W30" s="123" t="s">
        <v>205</v>
      </c>
      <c r="X30" s="231">
        <v>1410036</v>
      </c>
    </row>
    <row r="31" spans="1:24" ht="36.6" customHeight="1" x14ac:dyDescent="0.3">
      <c r="A31" s="220" t="s">
        <v>136</v>
      </c>
      <c r="B31" s="220">
        <v>2023</v>
      </c>
      <c r="C31" s="223" t="s">
        <v>79</v>
      </c>
      <c r="D31" s="223" t="s">
        <v>78</v>
      </c>
      <c r="E31" s="223" t="s">
        <v>184</v>
      </c>
      <c r="F31" s="225">
        <v>566</v>
      </c>
      <c r="G31" s="220">
        <v>30</v>
      </c>
      <c r="H31" s="226">
        <f t="shared" si="9"/>
        <v>566</v>
      </c>
      <c r="I31" s="220"/>
      <c r="J31" s="220"/>
      <c r="K31" s="232">
        <f t="shared" si="10"/>
        <v>566</v>
      </c>
      <c r="L31" s="226">
        <f t="shared" si="11"/>
        <v>53.486999999999995</v>
      </c>
      <c r="M31" s="226">
        <f t="shared" si="12"/>
        <v>68.768999999999991</v>
      </c>
      <c r="N31" s="220">
        <v>71</v>
      </c>
      <c r="O31" s="239">
        <v>38.22</v>
      </c>
      <c r="P31" s="228"/>
      <c r="Q31" s="228"/>
      <c r="R31" s="226">
        <f t="shared" si="7"/>
        <v>91.706999999999994</v>
      </c>
      <c r="S31" s="239">
        <f>1698/6</f>
        <v>283</v>
      </c>
      <c r="T31" s="229">
        <f t="shared" si="8"/>
        <v>191.29300000000001</v>
      </c>
      <c r="U31" s="230"/>
      <c r="V31" s="123" t="s">
        <v>228</v>
      </c>
      <c r="W31" s="123" t="s">
        <v>209</v>
      </c>
      <c r="X31" s="231">
        <v>1600022</v>
      </c>
    </row>
    <row r="32" spans="1:24" ht="31.2" customHeight="1" x14ac:dyDescent="0.3">
      <c r="A32" s="220" t="s">
        <v>136</v>
      </c>
      <c r="B32" s="220">
        <v>2023</v>
      </c>
      <c r="C32" s="223" t="s">
        <v>180</v>
      </c>
      <c r="D32" s="223" t="s">
        <v>69</v>
      </c>
      <c r="E32" s="223" t="s">
        <v>66</v>
      </c>
      <c r="F32" s="225">
        <v>584</v>
      </c>
      <c r="G32" s="220">
        <v>30</v>
      </c>
      <c r="H32" s="226">
        <f t="shared" si="9"/>
        <v>584</v>
      </c>
      <c r="I32" s="220"/>
      <c r="J32" s="220"/>
      <c r="K32" s="232">
        <f t="shared" si="10"/>
        <v>584</v>
      </c>
      <c r="L32" s="226">
        <f t="shared" si="11"/>
        <v>55.187999999999995</v>
      </c>
      <c r="M32" s="226">
        <f t="shared" si="12"/>
        <v>70.956000000000003</v>
      </c>
      <c r="N32" s="220">
        <v>71</v>
      </c>
      <c r="O32" s="239">
        <v>35.21</v>
      </c>
      <c r="P32" s="228"/>
      <c r="Q32" s="239">
        <v>132.26</v>
      </c>
      <c r="R32" s="226">
        <f t="shared" si="7"/>
        <v>222.65799999999999</v>
      </c>
      <c r="S32" s="239">
        <f>1752/6</f>
        <v>292</v>
      </c>
      <c r="T32" s="229">
        <f t="shared" si="8"/>
        <v>69.341999999999985</v>
      </c>
      <c r="U32" s="230"/>
      <c r="V32" s="123" t="s">
        <v>222</v>
      </c>
      <c r="W32" s="123" t="s">
        <v>209</v>
      </c>
      <c r="X32" s="231">
        <v>1600022</v>
      </c>
    </row>
    <row r="33" spans="1:24" ht="31.2" customHeight="1" x14ac:dyDescent="0.3">
      <c r="A33" s="220" t="s">
        <v>136</v>
      </c>
      <c r="B33" s="220">
        <v>2023</v>
      </c>
      <c r="C33" s="223" t="s">
        <v>89</v>
      </c>
      <c r="D33" s="223" t="s">
        <v>88</v>
      </c>
      <c r="E33" s="223" t="s">
        <v>90</v>
      </c>
      <c r="F33" s="225">
        <v>527</v>
      </c>
      <c r="G33" s="220">
        <v>30</v>
      </c>
      <c r="H33" s="226">
        <f t="shared" si="9"/>
        <v>527</v>
      </c>
      <c r="I33" s="220"/>
      <c r="J33" s="220"/>
      <c r="K33" s="232">
        <f>ROUND(H33+I33+J33,2)</f>
        <v>527</v>
      </c>
      <c r="L33" s="226">
        <f t="shared" si="11"/>
        <v>49.80149999999999</v>
      </c>
      <c r="M33" s="226">
        <f t="shared" si="12"/>
        <v>64.030500000000004</v>
      </c>
      <c r="N33" s="220">
        <v>71</v>
      </c>
      <c r="O33" s="239"/>
      <c r="P33" s="228"/>
      <c r="Q33" s="228"/>
      <c r="R33" s="226">
        <f t="shared" si="7"/>
        <v>49.80149999999999</v>
      </c>
      <c r="S33" s="243"/>
      <c r="T33" s="229">
        <f t="shared" si="8"/>
        <v>477.19850000000002</v>
      </c>
      <c r="U33" s="230"/>
      <c r="V33" s="123" t="s">
        <v>218</v>
      </c>
      <c r="W33" s="123" t="s">
        <v>205</v>
      </c>
      <c r="X33" s="231">
        <v>1410036</v>
      </c>
    </row>
    <row r="34" spans="1:24" ht="31.2" customHeight="1" x14ac:dyDescent="0.3">
      <c r="A34" s="220" t="s">
        <v>136</v>
      </c>
      <c r="B34" s="220">
        <v>2023</v>
      </c>
      <c r="C34" s="223" t="s">
        <v>181</v>
      </c>
      <c r="D34" s="223" t="s">
        <v>95</v>
      </c>
      <c r="E34" s="223" t="s">
        <v>87</v>
      </c>
      <c r="F34" s="225">
        <v>500</v>
      </c>
      <c r="G34" s="220">
        <v>30</v>
      </c>
      <c r="H34" s="226">
        <f t="shared" si="9"/>
        <v>500</v>
      </c>
      <c r="I34" s="220"/>
      <c r="J34" s="220"/>
      <c r="K34" s="232">
        <f t="shared" si="10"/>
        <v>500</v>
      </c>
      <c r="L34" s="226">
        <f t="shared" si="11"/>
        <v>47.249999999999993</v>
      </c>
      <c r="M34" s="226">
        <f t="shared" si="12"/>
        <v>60.75</v>
      </c>
      <c r="N34" s="220">
        <v>71</v>
      </c>
      <c r="O34" s="239">
        <v>26.96</v>
      </c>
      <c r="P34" s="228"/>
      <c r="Q34" s="228"/>
      <c r="R34" s="226">
        <f t="shared" si="7"/>
        <v>74.209999999999994</v>
      </c>
      <c r="S34" s="239">
        <v>250</v>
      </c>
      <c r="T34" s="229">
        <f t="shared" si="8"/>
        <v>175.79000000000002</v>
      </c>
      <c r="U34" s="230"/>
      <c r="V34" s="123" t="s">
        <v>216</v>
      </c>
      <c r="W34" s="123" t="s">
        <v>217</v>
      </c>
      <c r="X34" s="231">
        <v>1700427</v>
      </c>
    </row>
    <row r="35" spans="1:24" ht="31.2" customHeight="1" x14ac:dyDescent="0.3">
      <c r="A35" s="220" t="s">
        <v>136</v>
      </c>
      <c r="B35" s="220">
        <v>2023</v>
      </c>
      <c r="C35" s="223" t="s">
        <v>182</v>
      </c>
      <c r="D35" s="223" t="s">
        <v>65</v>
      </c>
      <c r="E35" s="223" t="s">
        <v>66</v>
      </c>
      <c r="F35" s="219">
        <v>614</v>
      </c>
      <c r="G35" s="220">
        <v>30</v>
      </c>
      <c r="H35" s="226">
        <f t="shared" si="9"/>
        <v>614</v>
      </c>
      <c r="I35" s="233"/>
      <c r="J35" s="233"/>
      <c r="K35" s="232">
        <f t="shared" si="10"/>
        <v>614</v>
      </c>
      <c r="L35" s="226">
        <f t="shared" si="11"/>
        <v>58.022999999999989</v>
      </c>
      <c r="M35" s="226">
        <f t="shared" si="12"/>
        <v>74.600999999999999</v>
      </c>
      <c r="N35" s="233">
        <v>71</v>
      </c>
      <c r="O35" s="233"/>
      <c r="P35" s="233"/>
      <c r="Q35" s="233"/>
      <c r="R35" s="234">
        <f t="shared" si="7"/>
        <v>58.022999999999989</v>
      </c>
      <c r="S35" s="238">
        <f>1698/10</f>
        <v>169.8</v>
      </c>
      <c r="T35" s="229">
        <f t="shared" si="8"/>
        <v>386.17699999999996</v>
      </c>
      <c r="U35" s="230"/>
      <c r="V35" s="123" t="s">
        <v>223</v>
      </c>
      <c r="W35" s="123" t="s">
        <v>224</v>
      </c>
      <c r="X35" s="231">
        <v>1700027</v>
      </c>
    </row>
    <row r="36" spans="1:24" ht="31.2" customHeight="1" x14ac:dyDescent="0.3">
      <c r="A36" s="220" t="s">
        <v>136</v>
      </c>
      <c r="B36" s="220">
        <v>2023</v>
      </c>
      <c r="C36" s="236" t="s">
        <v>290</v>
      </c>
      <c r="D36" s="223" t="s">
        <v>291</v>
      </c>
      <c r="E36" s="223" t="s">
        <v>292</v>
      </c>
      <c r="F36" s="237">
        <v>708</v>
      </c>
      <c r="G36" s="220">
        <v>30</v>
      </c>
      <c r="H36" s="226">
        <f t="shared" si="9"/>
        <v>708</v>
      </c>
      <c r="I36" s="233"/>
      <c r="J36" s="233"/>
      <c r="K36" s="232">
        <f>ROUND(H36+I36+J36,2)</f>
        <v>708</v>
      </c>
      <c r="L36" s="226">
        <f>F36*9.45%</f>
        <v>66.905999999999992</v>
      </c>
      <c r="M36" s="226">
        <f>F36*12.15%</f>
        <v>86.021999999999991</v>
      </c>
      <c r="N36" s="233">
        <v>71</v>
      </c>
      <c r="O36" s="233"/>
      <c r="P36" s="233"/>
      <c r="Q36" s="233"/>
      <c r="R36" s="234">
        <f t="shared" si="7"/>
        <v>66.905999999999992</v>
      </c>
      <c r="S36" s="235"/>
      <c r="T36" s="229">
        <f t="shared" si="8"/>
        <v>641.09400000000005</v>
      </c>
      <c r="U36" s="230"/>
      <c r="V36" s="123" t="s">
        <v>293</v>
      </c>
      <c r="W36" s="123" t="s">
        <v>209</v>
      </c>
      <c r="X36" s="231">
        <v>1600022</v>
      </c>
    </row>
    <row r="37" spans="1:24" ht="31.2" customHeight="1" x14ac:dyDescent="0.3">
      <c r="A37" s="220" t="s">
        <v>136</v>
      </c>
      <c r="B37" s="222">
        <v>2023</v>
      </c>
      <c r="C37" s="223">
        <v>2100854088</v>
      </c>
      <c r="D37" s="224" t="s">
        <v>312</v>
      </c>
      <c r="E37" s="224" t="s">
        <v>66</v>
      </c>
      <c r="F37" s="221">
        <v>566</v>
      </c>
      <c r="G37" s="222">
        <v>27</v>
      </c>
      <c r="H37" s="226">
        <f t="shared" si="9"/>
        <v>509.4</v>
      </c>
      <c r="I37" s="233"/>
      <c r="J37" s="233"/>
      <c r="K37" s="232">
        <f>ROUND(H37+I37+J37,2)</f>
        <v>509.4</v>
      </c>
      <c r="L37" s="226">
        <f>H37*9.45%</f>
        <v>48.138299999999994</v>
      </c>
      <c r="M37" s="226">
        <f>H37*12.15%</f>
        <v>61.892099999999992</v>
      </c>
      <c r="N37" s="233">
        <v>71</v>
      </c>
      <c r="O37" s="233"/>
      <c r="P37" s="238">
        <v>130</v>
      </c>
      <c r="Q37" s="233"/>
      <c r="R37" s="234">
        <f t="shared" si="7"/>
        <v>178.13829999999999</v>
      </c>
      <c r="S37" s="235"/>
      <c r="T37" s="229">
        <f t="shared" si="8"/>
        <v>331.26170000000002</v>
      </c>
      <c r="U37" s="230">
        <v>325.91000000000003</v>
      </c>
      <c r="V37" s="123" t="s">
        <v>313</v>
      </c>
      <c r="W37" s="123" t="s">
        <v>209</v>
      </c>
      <c r="X37" s="231">
        <v>1600022</v>
      </c>
    </row>
    <row r="38" spans="1:24" x14ac:dyDescent="0.3">
      <c r="A38" s="327" t="s">
        <v>185</v>
      </c>
      <c r="B38" s="328"/>
      <c r="C38" s="328"/>
      <c r="D38" s="328"/>
      <c r="E38" s="329"/>
      <c r="F38" s="151">
        <f>SUM(F29:F37)</f>
        <v>5326</v>
      </c>
      <c r="G38" s="151">
        <f t="shared" ref="G38:R38" si="13">SUM(G29:G35)</f>
        <v>210</v>
      </c>
      <c r="H38" s="151">
        <f>SUM(H29:H37)</f>
        <v>5269.4</v>
      </c>
      <c r="I38" s="151">
        <f t="shared" si="13"/>
        <v>0</v>
      </c>
      <c r="J38" s="151">
        <f t="shared" si="13"/>
        <v>0</v>
      </c>
      <c r="K38" s="151">
        <f>SUM(K29:K37)</f>
        <v>5269.4</v>
      </c>
      <c r="L38" s="151">
        <f>SUM(L29:L37)</f>
        <v>497.95829999999995</v>
      </c>
      <c r="M38" s="151">
        <f>SUM(M29:M37)</f>
        <v>640.23210000000006</v>
      </c>
      <c r="N38" s="151">
        <f t="shared" ref="N38:Q38" si="14">SUM(N29:N37)</f>
        <v>639</v>
      </c>
      <c r="O38" s="151">
        <f t="shared" si="14"/>
        <v>329.39</v>
      </c>
      <c r="P38" s="151">
        <f t="shared" si="14"/>
        <v>130</v>
      </c>
      <c r="Q38" s="151">
        <f t="shared" si="14"/>
        <v>132.26</v>
      </c>
      <c r="R38" s="151">
        <f t="shared" si="13"/>
        <v>844.56400000000008</v>
      </c>
      <c r="S38" s="151">
        <f>SUM(S29:S37)</f>
        <v>1152.1333333333334</v>
      </c>
      <c r="T38" s="156">
        <f>SUM(T29:T37)</f>
        <v>3027.6583666666666</v>
      </c>
      <c r="U38" s="79"/>
    </row>
    <row r="40" spans="1:24" x14ac:dyDescent="0.3">
      <c r="U40">
        <f>331.26-325.91</f>
        <v>5.3499999999999659</v>
      </c>
    </row>
    <row r="41" spans="1:24" x14ac:dyDescent="0.3">
      <c r="C41">
        <f>225.86*4</f>
        <v>903.44</v>
      </c>
      <c r="E41" s="330" t="s">
        <v>28</v>
      </c>
      <c r="F41" s="330"/>
      <c r="G41" s="330"/>
      <c r="H41" s="84"/>
      <c r="I41" s="85"/>
      <c r="J41" s="85"/>
      <c r="K41" s="86"/>
      <c r="L41" s="330" t="s">
        <v>187</v>
      </c>
      <c r="M41" s="330"/>
      <c r="N41" s="330"/>
      <c r="O41" s="330"/>
      <c r="P41" s="330"/>
      <c r="Q41" s="330"/>
    </row>
    <row r="42" spans="1:24" x14ac:dyDescent="0.3">
      <c r="E42" s="216"/>
      <c r="F42" s="216"/>
      <c r="G42" s="216"/>
      <c r="H42" s="84"/>
      <c r="I42" s="85"/>
      <c r="J42" s="85"/>
      <c r="K42" s="86"/>
      <c r="L42" s="216"/>
      <c r="M42" s="216"/>
      <c r="N42" s="216"/>
      <c r="O42" s="216"/>
      <c r="P42" s="216"/>
      <c r="Q42" s="216"/>
      <c r="S42">
        <f>122.26-104.92</f>
        <v>17.340000000000003</v>
      </c>
    </row>
    <row r="43" spans="1:24" x14ac:dyDescent="0.3">
      <c r="E43" s="145"/>
      <c r="F43" s="146"/>
      <c r="G43" s="145"/>
      <c r="H43" s="146"/>
      <c r="I43" s="85"/>
      <c r="J43" s="85"/>
      <c r="K43" s="88"/>
      <c r="L43" s="88"/>
      <c r="M43" s="88"/>
      <c r="N43" s="88"/>
      <c r="O43" s="88"/>
      <c r="P43" s="89"/>
      <c r="Q43" s="89"/>
    </row>
    <row r="44" spans="1:24" x14ac:dyDescent="0.3">
      <c r="E44" s="317" t="s">
        <v>188</v>
      </c>
      <c r="F44" s="317"/>
      <c r="G44" s="317"/>
      <c r="H44" s="317"/>
      <c r="I44" s="85"/>
      <c r="J44" s="85"/>
      <c r="K44" s="88"/>
      <c r="L44" s="331" t="s">
        <v>189</v>
      </c>
      <c r="M44" s="331"/>
      <c r="N44" s="331"/>
      <c r="O44" s="331"/>
      <c r="P44" s="331"/>
      <c r="Q44" s="331"/>
    </row>
    <row r="45" spans="1:24" x14ac:dyDescent="0.3">
      <c r="E45" s="316" t="s">
        <v>238</v>
      </c>
      <c r="F45" s="316"/>
      <c r="G45" s="316"/>
      <c r="H45" s="316"/>
      <c r="L45" s="316" t="s">
        <v>237</v>
      </c>
      <c r="M45" s="316"/>
      <c r="N45" s="316"/>
      <c r="O45" s="316"/>
      <c r="P45" s="316"/>
      <c r="Q45" s="316"/>
    </row>
    <row r="49" spans="1:24" x14ac:dyDescent="0.3">
      <c r="L49" s="269">
        <f>L63+L38</f>
        <v>754.32379999999989</v>
      </c>
      <c r="M49" s="269">
        <f>M63+M38</f>
        <v>901.07560000000012</v>
      </c>
    </row>
    <row r="52" spans="1:24" ht="15.6" customHeight="1" thickBot="1" x14ac:dyDescent="0.35"/>
    <row r="53" spans="1:24" ht="15.6" customHeight="1" x14ac:dyDescent="0.3">
      <c r="A53" s="294"/>
      <c r="B53" s="295"/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6"/>
    </row>
    <row r="54" spans="1:24" ht="15.6" customHeight="1" x14ac:dyDescent="0.3">
      <c r="A54" s="307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9"/>
    </row>
    <row r="55" spans="1:24" ht="15.6" customHeight="1" x14ac:dyDescent="0.3">
      <c r="A55" s="307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9"/>
    </row>
    <row r="56" spans="1:24" ht="15.6" customHeight="1" x14ac:dyDescent="0.3">
      <c r="A56" s="307"/>
      <c r="B56" s="308"/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8"/>
      <c r="P56" s="308"/>
      <c r="Q56" s="308"/>
      <c r="R56" s="308"/>
      <c r="S56" s="308"/>
      <c r="T56" s="308"/>
      <c r="U56" s="309"/>
    </row>
    <row r="57" spans="1:24" ht="15.6" customHeight="1" thickBot="1" x14ac:dyDescent="0.35">
      <c r="A57" s="307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9"/>
    </row>
    <row r="58" spans="1:24" ht="16.2" customHeight="1" thickBot="1" x14ac:dyDescent="0.35">
      <c r="A58" s="324" t="s">
        <v>311</v>
      </c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6"/>
    </row>
    <row r="59" spans="1:24" ht="38.4" customHeight="1" x14ac:dyDescent="0.3">
      <c r="A59" s="104" t="s">
        <v>143</v>
      </c>
      <c r="B59" s="105" t="s">
        <v>144</v>
      </c>
      <c r="C59" s="105" t="s">
        <v>145</v>
      </c>
      <c r="D59" s="105" t="s">
        <v>146</v>
      </c>
      <c r="E59" s="105" t="s">
        <v>147</v>
      </c>
      <c r="F59" s="105" t="s">
        <v>148</v>
      </c>
      <c r="G59" s="105" t="s">
        <v>151</v>
      </c>
      <c r="H59" s="105" t="s">
        <v>174</v>
      </c>
      <c r="I59" s="105" t="s">
        <v>149</v>
      </c>
      <c r="J59" s="105" t="s">
        <v>150</v>
      </c>
      <c r="K59" s="105" t="s">
        <v>152</v>
      </c>
      <c r="L59" s="105" t="s">
        <v>186</v>
      </c>
      <c r="M59" s="105" t="s">
        <v>154</v>
      </c>
      <c r="N59" s="105" t="s">
        <v>155</v>
      </c>
      <c r="O59" s="105" t="s">
        <v>156</v>
      </c>
      <c r="P59" s="105" t="s">
        <v>157</v>
      </c>
      <c r="Q59" s="105" t="s">
        <v>158</v>
      </c>
      <c r="R59" s="105" t="s">
        <v>159</v>
      </c>
      <c r="S59" s="105" t="s">
        <v>160</v>
      </c>
      <c r="T59" s="105" t="s">
        <v>13</v>
      </c>
      <c r="U59" s="106" t="s">
        <v>161</v>
      </c>
      <c r="V59" s="129" t="s">
        <v>220</v>
      </c>
      <c r="W59" s="130" t="s">
        <v>229</v>
      </c>
      <c r="X59" s="127" t="s">
        <v>219</v>
      </c>
    </row>
    <row r="60" spans="1:24" ht="31.2" customHeight="1" x14ac:dyDescent="0.3">
      <c r="A60" s="71" t="s">
        <v>136</v>
      </c>
      <c r="B60" s="71">
        <v>2023</v>
      </c>
      <c r="C60" s="73">
        <v>2200446587</v>
      </c>
      <c r="D60" s="223" t="s">
        <v>190</v>
      </c>
      <c r="E60" s="73" t="s">
        <v>308</v>
      </c>
      <c r="F60" s="91">
        <v>527</v>
      </c>
      <c r="G60" s="63">
        <v>30</v>
      </c>
      <c r="H60" s="72">
        <f>F60</f>
        <v>527</v>
      </c>
      <c r="I60" s="92">
        <f>H60/12</f>
        <v>43.916666666666664</v>
      </c>
      <c r="J60" s="72">
        <f>450/12</f>
        <v>37.5</v>
      </c>
      <c r="K60" s="119">
        <f>ROUND(H60+I60+J60,2)</f>
        <v>608.41999999999996</v>
      </c>
      <c r="L60" s="92">
        <f>H60*11.45%</f>
        <v>60.341499999999996</v>
      </c>
      <c r="M60" s="92">
        <f>F60*11.65%</f>
        <v>61.395500000000006</v>
      </c>
      <c r="N60" s="63">
        <v>71</v>
      </c>
      <c r="O60" s="63"/>
      <c r="P60" s="63"/>
      <c r="Q60" s="63"/>
      <c r="R60" s="119">
        <f>L60+O60+P60+Q60</f>
        <v>60.341499999999996</v>
      </c>
      <c r="S60" s="63"/>
      <c r="T60" s="140">
        <f>K60-R60-S60</f>
        <v>548.07849999999996</v>
      </c>
      <c r="U60" s="63"/>
      <c r="V60" s="123" t="s">
        <v>230</v>
      </c>
      <c r="W60" s="126" t="s">
        <v>209</v>
      </c>
      <c r="X60">
        <v>1600022</v>
      </c>
    </row>
    <row r="61" spans="1:24" ht="31.2" customHeight="1" x14ac:dyDescent="0.3">
      <c r="A61" s="71" t="s">
        <v>136</v>
      </c>
      <c r="B61" s="71">
        <v>2023</v>
      </c>
      <c r="C61" s="142" t="s">
        <v>235</v>
      </c>
      <c r="D61" s="223" t="s">
        <v>195</v>
      </c>
      <c r="E61" s="73" t="s">
        <v>196</v>
      </c>
      <c r="F61" s="91">
        <v>1212</v>
      </c>
      <c r="G61" s="63">
        <v>30</v>
      </c>
      <c r="H61" s="72">
        <f>F61</f>
        <v>1212</v>
      </c>
      <c r="I61" s="92">
        <f>H61/12</f>
        <v>101</v>
      </c>
      <c r="J61" s="72">
        <f>450/12</f>
        <v>37.5</v>
      </c>
      <c r="K61" s="119">
        <f>ROUND(H61+I61+J61,2)</f>
        <v>1350.5</v>
      </c>
      <c r="L61" s="92">
        <f>H61*11.45%</f>
        <v>138.774</v>
      </c>
      <c r="M61" s="92">
        <f>F61*11.65%</f>
        <v>141.19800000000001</v>
      </c>
      <c r="N61" s="63">
        <v>71</v>
      </c>
      <c r="O61" s="63"/>
      <c r="P61" s="103">
        <v>127.91</v>
      </c>
      <c r="Q61" s="63"/>
      <c r="R61" s="119">
        <f>L61+O61+P61+Q61</f>
        <v>266.68399999999997</v>
      </c>
      <c r="S61" s="63"/>
      <c r="T61" s="140">
        <f>K61-R61-S61</f>
        <v>1083.816</v>
      </c>
      <c r="U61" s="63"/>
      <c r="V61" s="123" t="s">
        <v>214</v>
      </c>
      <c r="W61" s="126" t="s">
        <v>213</v>
      </c>
      <c r="X61">
        <v>2600021</v>
      </c>
    </row>
    <row r="62" spans="1:24" ht="31.2" customHeight="1" x14ac:dyDescent="0.3">
      <c r="A62" s="71" t="s">
        <v>136</v>
      </c>
      <c r="B62" s="71">
        <v>2023</v>
      </c>
      <c r="C62" s="142" t="s">
        <v>295</v>
      </c>
      <c r="D62" s="223" t="s">
        <v>296</v>
      </c>
      <c r="E62" s="73" t="s">
        <v>84</v>
      </c>
      <c r="F62" s="91">
        <v>500</v>
      </c>
      <c r="G62" s="63">
        <v>30</v>
      </c>
      <c r="H62" s="72">
        <f>ROUND(F62/30*G62,2)</f>
        <v>500</v>
      </c>
      <c r="I62" s="122"/>
      <c r="J62" s="122"/>
      <c r="K62" s="119">
        <f>ROUND(H62+I62+J62,2)</f>
        <v>500</v>
      </c>
      <c r="L62" s="92">
        <f>H62*11.45%</f>
        <v>57.249999999999993</v>
      </c>
      <c r="M62" s="92">
        <f>F62*11.65%</f>
        <v>58.25</v>
      </c>
      <c r="N62" s="63">
        <v>71</v>
      </c>
      <c r="O62" s="63"/>
      <c r="P62" s="63"/>
      <c r="Q62" s="63"/>
      <c r="R62" s="119">
        <f>L62+O62+P62+Q62</f>
        <v>57.249999999999993</v>
      </c>
      <c r="S62" s="63"/>
      <c r="T62" s="140">
        <f>K62-R62-S62</f>
        <v>442.75</v>
      </c>
      <c r="U62" s="63"/>
      <c r="V62" s="123" t="s">
        <v>294</v>
      </c>
      <c r="W62" s="126" t="s">
        <v>205</v>
      </c>
      <c r="X62">
        <v>1410036</v>
      </c>
    </row>
    <row r="63" spans="1:24" ht="31.2" customHeight="1" x14ac:dyDescent="0.3">
      <c r="A63" s="332" t="s">
        <v>185</v>
      </c>
      <c r="B63" s="333"/>
      <c r="C63" s="333"/>
      <c r="D63" s="333"/>
      <c r="E63" s="334"/>
      <c r="F63" s="63"/>
      <c r="G63" s="63"/>
      <c r="H63" s="136">
        <f>SUM(H60:H62)</f>
        <v>2239</v>
      </c>
      <c r="I63" s="136">
        <f>SUM(I60:I61)</f>
        <v>144.91666666666666</v>
      </c>
      <c r="J63" s="136">
        <f>SUM(J60:J61)</f>
        <v>75</v>
      </c>
      <c r="K63" s="136">
        <f>SUM(K60:K62)</f>
        <v>2458.92</v>
      </c>
      <c r="L63" s="136">
        <f>SUM(L60:L62)</f>
        <v>256.3655</v>
      </c>
      <c r="M63" s="136">
        <f t="shared" ref="M63:T63" si="15">SUM(M60:M62)</f>
        <v>260.84350000000001</v>
      </c>
      <c r="N63" s="136">
        <f t="shared" si="15"/>
        <v>213</v>
      </c>
      <c r="O63" s="136">
        <f t="shared" si="15"/>
        <v>0</v>
      </c>
      <c r="P63" s="136">
        <f t="shared" si="15"/>
        <v>127.91</v>
      </c>
      <c r="Q63" s="136">
        <f t="shared" si="15"/>
        <v>0</v>
      </c>
      <c r="R63" s="136">
        <f t="shared" si="15"/>
        <v>384.27549999999997</v>
      </c>
      <c r="S63" s="136">
        <f t="shared" si="15"/>
        <v>0</v>
      </c>
      <c r="T63" s="136">
        <f t="shared" si="15"/>
        <v>2074.6444999999999</v>
      </c>
      <c r="U63" s="137"/>
    </row>
    <row r="64" spans="1:24" x14ac:dyDescent="0.3">
      <c r="E64" s="330" t="s">
        <v>28</v>
      </c>
      <c r="F64" s="330"/>
      <c r="G64" s="330"/>
      <c r="H64" s="84"/>
      <c r="I64" s="85"/>
      <c r="J64" s="85"/>
      <c r="K64" s="86"/>
      <c r="L64" s="330" t="s">
        <v>187</v>
      </c>
      <c r="M64" s="330"/>
      <c r="N64" s="330"/>
      <c r="O64" s="330"/>
      <c r="P64" s="330"/>
      <c r="Q64" s="330"/>
    </row>
    <row r="65" spans="5:17" x14ac:dyDescent="0.3">
      <c r="E65" s="216"/>
      <c r="F65" s="216"/>
      <c r="G65" s="216"/>
      <c r="H65" s="84"/>
      <c r="I65" s="85"/>
      <c r="J65" s="85"/>
      <c r="K65" s="86"/>
      <c r="L65" s="216"/>
      <c r="M65" s="216"/>
      <c r="N65" s="216"/>
      <c r="O65" s="216"/>
      <c r="P65" s="216"/>
      <c r="Q65" s="216"/>
    </row>
    <row r="66" spans="5:17" x14ac:dyDescent="0.3">
      <c r="E66" s="145"/>
      <c r="F66" s="146"/>
      <c r="G66" s="145"/>
      <c r="H66" s="146"/>
      <c r="I66" s="85"/>
      <c r="J66" s="85"/>
      <c r="K66" s="88"/>
      <c r="L66" s="88"/>
      <c r="M66" s="88"/>
      <c r="N66" s="88"/>
      <c r="O66" s="88"/>
      <c r="P66" s="89"/>
      <c r="Q66" s="89"/>
    </row>
    <row r="67" spans="5:17" x14ac:dyDescent="0.3">
      <c r="E67" s="317" t="s">
        <v>188</v>
      </c>
      <c r="F67" s="317"/>
      <c r="G67" s="317"/>
      <c r="H67" s="317"/>
      <c r="I67" s="85"/>
      <c r="J67" s="85"/>
      <c r="K67" s="88"/>
      <c r="L67" s="331" t="s">
        <v>189</v>
      </c>
      <c r="M67" s="331"/>
      <c r="N67" s="331"/>
      <c r="O67" s="331"/>
      <c r="P67" s="331"/>
      <c r="Q67" s="331"/>
    </row>
    <row r="68" spans="5:17" x14ac:dyDescent="0.3">
      <c r="E68" s="316" t="s">
        <v>238</v>
      </c>
      <c r="F68" s="316"/>
      <c r="G68" s="316"/>
      <c r="H68" s="316"/>
      <c r="L68" s="316" t="s">
        <v>237</v>
      </c>
      <c r="M68" s="316"/>
      <c r="N68" s="316"/>
      <c r="O68" s="316"/>
      <c r="P68" s="316"/>
      <c r="Q68" s="316"/>
    </row>
  </sheetData>
  <mergeCells count="27">
    <mergeCell ref="E41:G41"/>
    <mergeCell ref="L41:Q41"/>
    <mergeCell ref="A1:U5"/>
    <mergeCell ref="A6:U6"/>
    <mergeCell ref="A14:E14"/>
    <mergeCell ref="E16:G16"/>
    <mergeCell ref="L16:Q16"/>
    <mergeCell ref="E19:H19"/>
    <mergeCell ref="L19:Q19"/>
    <mergeCell ref="E20:H20"/>
    <mergeCell ref="L20:Q20"/>
    <mergeCell ref="A22:U26"/>
    <mergeCell ref="A27:U27"/>
    <mergeCell ref="A38:E38"/>
    <mergeCell ref="E68:H68"/>
    <mergeCell ref="L68:Q68"/>
    <mergeCell ref="E44:H44"/>
    <mergeCell ref="L44:Q44"/>
    <mergeCell ref="E45:H45"/>
    <mergeCell ref="L45:Q45"/>
    <mergeCell ref="A53:U57"/>
    <mergeCell ref="A58:U58"/>
    <mergeCell ref="A63:E63"/>
    <mergeCell ref="E64:G64"/>
    <mergeCell ref="L64:Q64"/>
    <mergeCell ref="E67:H67"/>
    <mergeCell ref="L67:Q67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5"/>
  <sheetViews>
    <sheetView workbookViewId="0">
      <selection activeCell="B8" sqref="B8"/>
    </sheetView>
  </sheetViews>
  <sheetFormatPr baseColWidth="10" defaultRowHeight="14.4" x14ac:dyDescent="0.3"/>
  <cols>
    <col min="1" max="1" width="37.33203125" customWidth="1"/>
    <col min="2" max="2" width="27.5546875" customWidth="1"/>
    <col min="3" max="3" width="15.6640625" customWidth="1"/>
    <col min="4" max="4" width="21.6640625" customWidth="1"/>
  </cols>
  <sheetData>
    <row r="1" spans="1:4" ht="25.2" customHeight="1" x14ac:dyDescent="0.3">
      <c r="A1" s="294"/>
      <c r="B1" s="295"/>
      <c r="C1" s="295"/>
      <c r="D1" s="296"/>
    </row>
    <row r="2" spans="1:4" x14ac:dyDescent="0.3">
      <c r="A2" s="307"/>
      <c r="B2" s="308"/>
      <c r="C2" s="308"/>
      <c r="D2" s="309"/>
    </row>
    <row r="3" spans="1:4" ht="33" customHeight="1" thickBot="1" x14ac:dyDescent="0.35">
      <c r="A3" s="307"/>
      <c r="B3" s="308"/>
      <c r="C3" s="308"/>
      <c r="D3" s="309"/>
    </row>
    <row r="4" spans="1:4" ht="25.8" thickBot="1" x14ac:dyDescent="0.35">
      <c r="A4" s="350" t="s">
        <v>0</v>
      </c>
      <c r="B4" s="351"/>
      <c r="C4" s="351"/>
      <c r="D4" s="352"/>
    </row>
    <row r="5" spans="1:4" x14ac:dyDescent="0.3">
      <c r="A5" s="11" t="s">
        <v>1</v>
      </c>
      <c r="B5" s="3" t="str">
        <f>'ROL DE AGOSTO'!D8</f>
        <v>LUZ NARCISA GREFA YUMBO</v>
      </c>
      <c r="C5" s="3"/>
      <c r="D5" s="12"/>
    </row>
    <row r="6" spans="1:4" x14ac:dyDescent="0.3">
      <c r="A6" s="11" t="s">
        <v>2</v>
      </c>
      <c r="B6" s="55">
        <f>'ROL DE AGOSTO'!C8</f>
        <v>1500721202</v>
      </c>
      <c r="C6" s="4"/>
      <c r="D6" s="13"/>
    </row>
    <row r="7" spans="1:4" x14ac:dyDescent="0.3">
      <c r="A7" s="11" t="s">
        <v>3</v>
      </c>
      <c r="B7" s="3" t="str">
        <f>'ROL DE AGOSTO'!E8</f>
        <v>PRESIDENTA</v>
      </c>
      <c r="C7" s="4"/>
      <c r="D7" s="14"/>
    </row>
    <row r="8" spans="1:4" x14ac:dyDescent="0.3">
      <c r="A8" s="11" t="s">
        <v>26</v>
      </c>
      <c r="B8" s="3" t="s">
        <v>136</v>
      </c>
      <c r="C8" s="4"/>
      <c r="D8" s="15"/>
    </row>
    <row r="9" spans="1:4" x14ac:dyDescent="0.3">
      <c r="A9" s="11" t="s">
        <v>99</v>
      </c>
      <c r="B9" s="55">
        <f>'ROL DE AGOSTO'!B8</f>
        <v>2023</v>
      </c>
      <c r="C9" s="4"/>
      <c r="D9" s="15"/>
    </row>
    <row r="10" spans="1:4" x14ac:dyDescent="0.3">
      <c r="A10" s="203" t="s">
        <v>94</v>
      </c>
      <c r="B10" s="204"/>
      <c r="C10" s="205" t="s">
        <v>5</v>
      </c>
      <c r="D10" s="206" t="s">
        <v>6</v>
      </c>
    </row>
    <row r="11" spans="1:4" x14ac:dyDescent="0.3">
      <c r="A11" s="18"/>
      <c r="B11" s="6"/>
      <c r="C11" s="7"/>
      <c r="D11" s="19"/>
    </row>
    <row r="12" spans="1:4" ht="13.2" customHeight="1" x14ac:dyDescent="0.3">
      <c r="A12" s="26" t="s">
        <v>16</v>
      </c>
      <c r="B12" s="27"/>
      <c r="C12" s="28">
        <f>'ROL SEP'!F8</f>
        <v>1340</v>
      </c>
      <c r="D12" s="29"/>
    </row>
    <row r="13" spans="1:4" ht="13.2" customHeight="1" x14ac:dyDescent="0.3">
      <c r="A13" s="26" t="s">
        <v>105</v>
      </c>
      <c r="B13" s="27"/>
      <c r="C13" s="28"/>
      <c r="D13" s="29"/>
    </row>
    <row r="14" spans="1:4" ht="13.2" customHeight="1" x14ac:dyDescent="0.3">
      <c r="A14" s="26" t="s">
        <v>8</v>
      </c>
      <c r="B14" s="27"/>
      <c r="C14" s="28"/>
      <c r="D14" s="29"/>
    </row>
    <row r="15" spans="1:4" ht="13.2" customHeight="1" x14ac:dyDescent="0.3">
      <c r="A15" s="26" t="s">
        <v>9</v>
      </c>
      <c r="B15" s="27"/>
      <c r="C15" s="28"/>
      <c r="D15" s="29"/>
    </row>
    <row r="16" spans="1:4" ht="13.2" customHeight="1" x14ac:dyDescent="0.3">
      <c r="A16" s="26"/>
      <c r="B16" s="27" t="s">
        <v>10</v>
      </c>
      <c r="C16" s="28"/>
      <c r="D16" s="29">
        <f>'ROL SEP'!L8</f>
        <v>153.43</v>
      </c>
    </row>
    <row r="17" spans="1:4" ht="13.2" customHeight="1" x14ac:dyDescent="0.3">
      <c r="A17" s="26"/>
      <c r="B17" s="27" t="s">
        <v>11</v>
      </c>
      <c r="C17" s="28"/>
      <c r="D17" s="29">
        <f>'ROL DE AGOSTO'!O8</f>
        <v>0</v>
      </c>
    </row>
    <row r="18" spans="1:4" ht="13.2" customHeight="1" x14ac:dyDescent="0.3">
      <c r="A18" s="26"/>
      <c r="B18" s="27" t="s">
        <v>55</v>
      </c>
      <c r="C18" s="28"/>
      <c r="D18" s="29">
        <f>'ROL SEP'!S8</f>
        <v>382.85714285714283</v>
      </c>
    </row>
    <row r="19" spans="1:4" ht="13.2" customHeight="1" x14ac:dyDescent="0.3">
      <c r="A19" s="26"/>
      <c r="B19" s="27" t="s">
        <v>18</v>
      </c>
      <c r="C19" s="28"/>
      <c r="D19" s="29">
        <f>'ROL DE AGOSTO'!P8</f>
        <v>0</v>
      </c>
    </row>
    <row r="20" spans="1:4" x14ac:dyDescent="0.3">
      <c r="A20" s="207"/>
      <c r="B20" s="208" t="s">
        <v>12</v>
      </c>
      <c r="C20" s="209">
        <f>SUM(C12:C19)</f>
        <v>1340</v>
      </c>
      <c r="D20" s="210">
        <f>SUM(D12:D19)</f>
        <v>536.28714285714284</v>
      </c>
    </row>
    <row r="21" spans="1:4" ht="28.2" x14ac:dyDescent="0.3">
      <c r="A21" s="21"/>
      <c r="B21" s="45"/>
      <c r="C21" s="211" t="s">
        <v>13</v>
      </c>
      <c r="D21" s="212">
        <f>+C20-D20</f>
        <v>803.71285714285716</v>
      </c>
    </row>
    <row r="22" spans="1:4" ht="15" thickBot="1" x14ac:dyDescent="0.35">
      <c r="A22" s="23"/>
      <c r="B22" s="4" t="s">
        <v>14</v>
      </c>
      <c r="C22" s="2"/>
      <c r="D22" s="24"/>
    </row>
    <row r="23" spans="1:4" x14ac:dyDescent="0.3">
      <c r="A23" s="213" t="s">
        <v>28</v>
      </c>
      <c r="B23" s="213" t="s">
        <v>93</v>
      </c>
      <c r="C23" s="348" t="s">
        <v>30</v>
      </c>
      <c r="D23" s="349"/>
    </row>
    <row r="24" spans="1:4" x14ac:dyDescent="0.3">
      <c r="A24" s="37"/>
      <c r="B24" s="34"/>
      <c r="C24" s="32"/>
      <c r="D24" s="25"/>
    </row>
    <row r="25" spans="1:4" x14ac:dyDescent="0.3">
      <c r="A25" s="37"/>
      <c r="B25" s="34"/>
      <c r="C25" s="32"/>
      <c r="D25" s="25"/>
    </row>
    <row r="26" spans="1:4" x14ac:dyDescent="0.3">
      <c r="A26" s="37"/>
      <c r="B26" s="34"/>
      <c r="C26" s="32"/>
      <c r="D26" s="25"/>
    </row>
    <row r="27" spans="1:4" x14ac:dyDescent="0.3">
      <c r="A27" s="37"/>
      <c r="B27" s="34"/>
      <c r="C27" s="32"/>
      <c r="D27" s="25"/>
    </row>
    <row r="28" spans="1:4" x14ac:dyDescent="0.3">
      <c r="A28" s="37"/>
      <c r="B28" s="34"/>
      <c r="C28" s="32"/>
      <c r="D28" s="25"/>
    </row>
    <row r="29" spans="1:4" x14ac:dyDescent="0.3">
      <c r="A29" s="38" t="s">
        <v>298</v>
      </c>
      <c r="B29" s="35" t="s">
        <v>297</v>
      </c>
      <c r="C29" s="290" t="str">
        <f>'ROL INDIVIDUAL'!B5</f>
        <v>LUZ NARCISA GREFA YUMBO</v>
      </c>
      <c r="D29" s="291"/>
    </row>
    <row r="30" spans="1:4" ht="15" thickBot="1" x14ac:dyDescent="0.35">
      <c r="A30" s="36" t="s">
        <v>246</v>
      </c>
      <c r="B30" s="33" t="s">
        <v>299</v>
      </c>
      <c r="C30" s="353">
        <f>B6</f>
        <v>1500721202</v>
      </c>
      <c r="D30" s="354"/>
    </row>
    <row r="31" spans="1:4" x14ac:dyDescent="0.3">
      <c r="A31" s="214"/>
      <c r="B31" s="58"/>
      <c r="C31" s="59"/>
      <c r="D31" s="215"/>
    </row>
    <row r="32" spans="1:4" ht="15" thickBot="1" x14ac:dyDescent="0.35">
      <c r="A32" s="214"/>
      <c r="B32" s="58"/>
      <c r="C32" s="59"/>
      <c r="D32" s="215"/>
    </row>
    <row r="33" spans="1:4" x14ac:dyDescent="0.3">
      <c r="A33" s="294"/>
      <c r="B33" s="295"/>
      <c r="C33" s="295"/>
      <c r="D33" s="296"/>
    </row>
    <row r="34" spans="1:4" x14ac:dyDescent="0.3">
      <c r="A34" s="307"/>
      <c r="B34" s="308"/>
      <c r="C34" s="308"/>
      <c r="D34" s="309"/>
    </row>
    <row r="35" spans="1:4" ht="45" customHeight="1" thickBot="1" x14ac:dyDescent="0.35">
      <c r="A35" s="307"/>
      <c r="B35" s="308"/>
      <c r="C35" s="308"/>
      <c r="D35" s="309"/>
    </row>
    <row r="36" spans="1:4" ht="25.8" thickBot="1" x14ac:dyDescent="0.35">
      <c r="A36" s="350" t="s">
        <v>0</v>
      </c>
      <c r="B36" s="351"/>
      <c r="C36" s="351"/>
      <c r="D36" s="352"/>
    </row>
    <row r="37" spans="1:4" x14ac:dyDescent="0.3">
      <c r="A37" s="11" t="s">
        <v>1</v>
      </c>
      <c r="B37" s="3" t="str">
        <f>'ROL DE AGOSTO'!D9</f>
        <v>DEISY EDITH GREFA VARGAS</v>
      </c>
      <c r="C37" s="3"/>
      <c r="D37" s="12"/>
    </row>
    <row r="38" spans="1:4" x14ac:dyDescent="0.3">
      <c r="A38" s="11" t="s">
        <v>2</v>
      </c>
      <c r="B38" s="10" t="str">
        <f>'ROL DE AGOSTO'!C9</f>
        <v>2200496376</v>
      </c>
      <c r="C38" s="4"/>
      <c r="D38" s="13"/>
    </row>
    <row r="39" spans="1:4" x14ac:dyDescent="0.3">
      <c r="A39" s="11" t="s">
        <v>3</v>
      </c>
      <c r="B39" s="3" t="str">
        <f>'ROL DE AGOSTO'!E9</f>
        <v>VICEPRESIDENTA</v>
      </c>
      <c r="C39" s="4"/>
      <c r="D39" s="14"/>
    </row>
    <row r="40" spans="1:4" x14ac:dyDescent="0.3">
      <c r="A40" s="11" t="s">
        <v>26</v>
      </c>
      <c r="B40" s="3" t="str">
        <f>'ROL DE AGOSTO'!A9</f>
        <v>AGOSTO</v>
      </c>
      <c r="C40" s="4"/>
      <c r="D40" s="15"/>
    </row>
    <row r="41" spans="1:4" x14ac:dyDescent="0.3">
      <c r="A41" s="11" t="s">
        <v>99</v>
      </c>
      <c r="B41" s="55">
        <f>'ROL DE AGOSTO'!B8</f>
        <v>2023</v>
      </c>
      <c r="C41" s="4"/>
      <c r="D41" s="15"/>
    </row>
    <row r="42" spans="1:4" x14ac:dyDescent="0.3">
      <c r="A42" s="203" t="s">
        <v>94</v>
      </c>
      <c r="B42" s="204"/>
      <c r="C42" s="205" t="s">
        <v>5</v>
      </c>
      <c r="D42" s="206" t="s">
        <v>6</v>
      </c>
    </row>
    <row r="43" spans="1:4" x14ac:dyDescent="0.3">
      <c r="A43" s="18"/>
      <c r="B43" s="6"/>
      <c r="C43" s="7"/>
      <c r="D43" s="19"/>
    </row>
    <row r="44" spans="1:4" x14ac:dyDescent="0.3">
      <c r="A44" s="26" t="s">
        <v>16</v>
      </c>
      <c r="B44" s="27"/>
      <c r="C44" s="28">
        <f>'ROL DE AGOSTO'!F9</f>
        <v>536</v>
      </c>
      <c r="D44" s="29"/>
    </row>
    <row r="45" spans="1:4" ht="17.399999999999999" customHeight="1" x14ac:dyDescent="0.3">
      <c r="A45" s="26" t="s">
        <v>105</v>
      </c>
      <c r="B45" s="27"/>
      <c r="C45" s="28"/>
      <c r="D45" s="29"/>
    </row>
    <row r="46" spans="1:4" x14ac:dyDescent="0.3">
      <c r="A46" s="26" t="s">
        <v>8</v>
      </c>
      <c r="B46" s="27"/>
      <c r="C46" s="28"/>
      <c r="D46" s="29"/>
    </row>
    <row r="47" spans="1:4" x14ac:dyDescent="0.3">
      <c r="A47" s="26" t="s">
        <v>9</v>
      </c>
      <c r="B47" s="27"/>
      <c r="C47" s="28"/>
      <c r="D47" s="29"/>
    </row>
    <row r="48" spans="1:4" ht="24" x14ac:dyDescent="0.3">
      <c r="A48" s="26"/>
      <c r="B48" s="27" t="s">
        <v>10</v>
      </c>
      <c r="C48" s="28"/>
      <c r="D48" s="29">
        <f>'ROL DE AGOSTO'!L9</f>
        <v>61.37</v>
      </c>
    </row>
    <row r="49" spans="1:4" ht="24" x14ac:dyDescent="0.3">
      <c r="A49" s="26"/>
      <c r="B49" s="27" t="s">
        <v>11</v>
      </c>
      <c r="C49" s="28"/>
      <c r="D49" s="29">
        <f>'ROL DE AGOSTO'!O9</f>
        <v>0</v>
      </c>
    </row>
    <row r="50" spans="1:4" x14ac:dyDescent="0.3">
      <c r="A50" s="26"/>
      <c r="B50" s="27" t="s">
        <v>55</v>
      </c>
      <c r="C50" s="28"/>
      <c r="D50" s="29">
        <f>'ROL DE AGOSTO'!S9</f>
        <v>0</v>
      </c>
    </row>
    <row r="51" spans="1:4" ht="24" x14ac:dyDescent="0.3">
      <c r="A51" s="26"/>
      <c r="B51" s="27" t="s">
        <v>18</v>
      </c>
      <c r="C51" s="28"/>
      <c r="D51" s="29">
        <f>'ROL DE AGOSTO'!P9</f>
        <v>105</v>
      </c>
    </row>
    <row r="52" spans="1:4" x14ac:dyDescent="0.3">
      <c r="A52" s="207"/>
      <c r="B52" s="208" t="s">
        <v>12</v>
      </c>
      <c r="C52" s="209">
        <f>SUM(C44:C51)</f>
        <v>536</v>
      </c>
      <c r="D52" s="210">
        <f>SUM(D44:D51)</f>
        <v>166.37</v>
      </c>
    </row>
    <row r="53" spans="1:4" ht="28.2" x14ac:dyDescent="0.3">
      <c r="A53" s="21"/>
      <c r="B53" s="45"/>
      <c r="C53" s="211" t="s">
        <v>13</v>
      </c>
      <c r="D53" s="212">
        <f>+C52-D52</f>
        <v>369.63</v>
      </c>
    </row>
    <row r="54" spans="1:4" ht="15" thickBot="1" x14ac:dyDescent="0.35">
      <c r="A54" s="23"/>
      <c r="B54" s="4" t="s">
        <v>14</v>
      </c>
      <c r="C54" s="2"/>
      <c r="D54" s="24"/>
    </row>
    <row r="55" spans="1:4" x14ac:dyDescent="0.3">
      <c r="A55" s="213" t="s">
        <v>28</v>
      </c>
      <c r="B55" s="213" t="s">
        <v>93</v>
      </c>
      <c r="C55" s="348" t="s">
        <v>30</v>
      </c>
      <c r="D55" s="349"/>
    </row>
    <row r="56" spans="1:4" x14ac:dyDescent="0.3">
      <c r="A56" s="37"/>
      <c r="B56" s="34"/>
      <c r="C56" s="32"/>
      <c r="D56" s="25"/>
    </row>
    <row r="57" spans="1:4" x14ac:dyDescent="0.3">
      <c r="A57" s="37"/>
      <c r="B57" s="34"/>
      <c r="C57" s="32"/>
      <c r="D57" s="25"/>
    </row>
    <row r="58" spans="1:4" x14ac:dyDescent="0.3">
      <c r="A58" s="37"/>
      <c r="B58" s="34"/>
      <c r="C58" s="32"/>
      <c r="D58" s="25"/>
    </row>
    <row r="59" spans="1:4" x14ac:dyDescent="0.3">
      <c r="A59" s="37"/>
      <c r="B59" s="34"/>
      <c r="C59" s="32"/>
      <c r="D59" s="25"/>
    </row>
    <row r="60" spans="1:4" x14ac:dyDescent="0.3">
      <c r="A60" s="37"/>
      <c r="B60" s="34"/>
      <c r="C60" s="32"/>
      <c r="D60" s="25"/>
    </row>
    <row r="61" spans="1:4" x14ac:dyDescent="0.3">
      <c r="A61" s="38" t="s">
        <v>298</v>
      </c>
      <c r="B61" s="35" t="s">
        <v>297</v>
      </c>
      <c r="C61" s="290" t="str">
        <f>B37</f>
        <v>DEISY EDITH GREFA VARGAS</v>
      </c>
      <c r="D61" s="291"/>
    </row>
    <row r="62" spans="1:4" ht="15" thickBot="1" x14ac:dyDescent="0.35">
      <c r="A62" s="36" t="s">
        <v>246</v>
      </c>
      <c r="B62" s="33" t="s">
        <v>299</v>
      </c>
      <c r="C62" s="353" t="str">
        <f>B38</f>
        <v>2200496376</v>
      </c>
      <c r="D62" s="354"/>
    </row>
    <row r="68" spans="1:4" ht="15" thickBot="1" x14ac:dyDescent="0.35"/>
    <row r="69" spans="1:4" x14ac:dyDescent="0.3">
      <c r="A69" s="294"/>
      <c r="B69" s="295"/>
      <c r="C69" s="295"/>
      <c r="D69" s="296"/>
    </row>
    <row r="70" spans="1:4" x14ac:dyDescent="0.3">
      <c r="A70" s="307"/>
      <c r="B70" s="308"/>
      <c r="C70" s="308"/>
      <c r="D70" s="309"/>
    </row>
    <row r="71" spans="1:4" ht="49.8" customHeight="1" thickBot="1" x14ac:dyDescent="0.35">
      <c r="A71" s="307"/>
      <c r="B71" s="308"/>
      <c r="C71" s="308"/>
      <c r="D71" s="309"/>
    </row>
    <row r="72" spans="1:4" ht="25.8" thickBot="1" x14ac:dyDescent="0.35">
      <c r="A72" s="350" t="s">
        <v>0</v>
      </c>
      <c r="B72" s="351"/>
      <c r="C72" s="351"/>
      <c r="D72" s="352"/>
    </row>
    <row r="73" spans="1:4" x14ac:dyDescent="0.3">
      <c r="A73" s="11" t="s">
        <v>1</v>
      </c>
      <c r="B73" s="3" t="str">
        <f>'ROL DE AGOSTO'!D10</f>
        <v>PEDRO PABLO MONTERO ALTAMIR</v>
      </c>
      <c r="C73" s="3"/>
      <c r="D73" s="12"/>
    </row>
    <row r="74" spans="1:4" x14ac:dyDescent="0.3">
      <c r="A74" s="11" t="s">
        <v>2</v>
      </c>
      <c r="B74" s="10" t="str">
        <f>'ROL DE AGOSTO'!C10</f>
        <v>1500518517</v>
      </c>
      <c r="C74" s="4"/>
      <c r="D74" s="13"/>
    </row>
    <row r="75" spans="1:4" x14ac:dyDescent="0.3">
      <c r="A75" s="11" t="s">
        <v>3</v>
      </c>
      <c r="B75" s="3" t="str">
        <f>'ROL DE AGOSTO'!E10</f>
        <v>1 VOCAL</v>
      </c>
      <c r="C75" s="4"/>
      <c r="D75" s="14"/>
    </row>
    <row r="76" spans="1:4" x14ac:dyDescent="0.3">
      <c r="A76" s="11" t="s">
        <v>26</v>
      </c>
      <c r="B76" s="3" t="str">
        <f>'ROL DE AGOSTO'!A10</f>
        <v>AGOSTO</v>
      </c>
      <c r="C76" s="4"/>
      <c r="D76" s="15"/>
    </row>
    <row r="77" spans="1:4" x14ac:dyDescent="0.3">
      <c r="A77" s="11" t="s">
        <v>99</v>
      </c>
      <c r="B77" s="55">
        <f>'ROL DE AGOSTO'!B10</f>
        <v>2023</v>
      </c>
      <c r="C77" s="4"/>
      <c r="D77" s="15"/>
    </row>
    <row r="78" spans="1:4" x14ac:dyDescent="0.3">
      <c r="A78" s="203" t="s">
        <v>94</v>
      </c>
      <c r="B78" s="204"/>
      <c r="C78" s="205" t="s">
        <v>5</v>
      </c>
      <c r="D78" s="206" t="s">
        <v>6</v>
      </c>
    </row>
    <row r="79" spans="1:4" x14ac:dyDescent="0.3">
      <c r="A79" s="18"/>
      <c r="B79" s="6"/>
      <c r="C79" s="7"/>
      <c r="D79" s="19"/>
    </row>
    <row r="80" spans="1:4" x14ac:dyDescent="0.3">
      <c r="A80" s="26" t="s">
        <v>16</v>
      </c>
      <c r="B80" s="27"/>
      <c r="C80" s="28">
        <f>'ROL DE AGOSTO'!F10</f>
        <v>536</v>
      </c>
      <c r="D80" s="29"/>
    </row>
    <row r="81" spans="1:4" x14ac:dyDescent="0.3">
      <c r="A81" s="26" t="s">
        <v>105</v>
      </c>
      <c r="B81" s="27"/>
      <c r="C81" s="28"/>
      <c r="D81" s="29"/>
    </row>
    <row r="82" spans="1:4" x14ac:dyDescent="0.3">
      <c r="A82" s="26" t="s">
        <v>8</v>
      </c>
      <c r="B82" s="27"/>
      <c r="C82" s="28"/>
      <c r="D82" s="29"/>
    </row>
    <row r="83" spans="1:4" x14ac:dyDescent="0.3">
      <c r="A83" s="26" t="s">
        <v>9</v>
      </c>
      <c r="B83" s="27"/>
      <c r="C83" s="28"/>
      <c r="D83" s="29"/>
    </row>
    <row r="84" spans="1:4" ht="24" x14ac:dyDescent="0.3">
      <c r="A84" s="26"/>
      <c r="B84" s="27" t="s">
        <v>10</v>
      </c>
      <c r="C84" s="28"/>
      <c r="D84" s="29">
        <f>'ROL DE AGOSTO'!L10</f>
        <v>61.37</v>
      </c>
    </row>
    <row r="85" spans="1:4" ht="24" x14ac:dyDescent="0.3">
      <c r="A85" s="26"/>
      <c r="B85" s="27" t="s">
        <v>11</v>
      </c>
      <c r="C85" s="28"/>
      <c r="D85" s="29">
        <f>'ROL DE AGOSTO'!O76</f>
        <v>0</v>
      </c>
    </row>
    <row r="86" spans="1:4" x14ac:dyDescent="0.3">
      <c r="A86" s="26"/>
      <c r="B86" s="27" t="s">
        <v>55</v>
      </c>
      <c r="C86" s="28"/>
      <c r="D86" s="29">
        <f>'ROL DE AGOSTO'!S10</f>
        <v>268</v>
      </c>
    </row>
    <row r="87" spans="1:4" ht="24" x14ac:dyDescent="0.3">
      <c r="A87" s="26"/>
      <c r="B87" s="27" t="s">
        <v>18</v>
      </c>
      <c r="C87" s="28"/>
      <c r="D87" s="29">
        <f>'ROL DE AGOSTO'!P10</f>
        <v>78.349999999999994</v>
      </c>
    </row>
    <row r="88" spans="1:4" x14ac:dyDescent="0.3">
      <c r="A88" s="207"/>
      <c r="B88" s="208" t="s">
        <v>12</v>
      </c>
      <c r="C88" s="209">
        <f>SUM(C80:C87)</f>
        <v>536</v>
      </c>
      <c r="D88" s="210">
        <f>SUM(D80:D87)</f>
        <v>407.72</v>
      </c>
    </row>
    <row r="89" spans="1:4" ht="28.2" x14ac:dyDescent="0.3">
      <c r="A89" s="21"/>
      <c r="B89" s="45"/>
      <c r="C89" s="211" t="s">
        <v>13</v>
      </c>
      <c r="D89" s="212">
        <f>+C88-D88</f>
        <v>128.27999999999997</v>
      </c>
    </row>
    <row r="90" spans="1:4" ht="15" thickBot="1" x14ac:dyDescent="0.35">
      <c r="A90" s="23"/>
      <c r="B90" s="4" t="s">
        <v>14</v>
      </c>
      <c r="C90" s="2"/>
      <c r="D90" s="24"/>
    </row>
    <row r="91" spans="1:4" x14ac:dyDescent="0.3">
      <c r="A91" s="213" t="s">
        <v>28</v>
      </c>
      <c r="B91" s="213" t="s">
        <v>93</v>
      </c>
      <c r="C91" s="348" t="s">
        <v>30</v>
      </c>
      <c r="D91" s="349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8" t="s">
        <v>298</v>
      </c>
      <c r="B97" s="35" t="s">
        <v>297</v>
      </c>
      <c r="C97" s="290" t="str">
        <f>'ROL INDIVIDUAL'!B73</f>
        <v>PEDRO PABLO MONTERO ALTAMIR</v>
      </c>
      <c r="D97" s="291"/>
    </row>
    <row r="98" spans="1:4" ht="15" thickBot="1" x14ac:dyDescent="0.35">
      <c r="A98" s="36" t="s">
        <v>246</v>
      </c>
      <c r="B98" s="33" t="s">
        <v>299</v>
      </c>
      <c r="C98" s="353" t="str">
        <f>B74</f>
        <v>1500518517</v>
      </c>
      <c r="D98" s="354"/>
    </row>
    <row r="99" spans="1:4" x14ac:dyDescent="0.3">
      <c r="A99" s="214"/>
      <c r="B99" s="58"/>
      <c r="C99" s="59"/>
      <c r="D99" s="215"/>
    </row>
    <row r="100" spans="1:4" ht="15" thickBot="1" x14ac:dyDescent="0.35">
      <c r="A100" s="214"/>
      <c r="B100" s="58"/>
      <c r="C100" s="59"/>
      <c r="D100" s="215"/>
    </row>
    <row r="101" spans="1:4" x14ac:dyDescent="0.3">
      <c r="A101" s="294"/>
      <c r="B101" s="295"/>
      <c r="C101" s="295"/>
      <c r="D101" s="296"/>
    </row>
    <row r="102" spans="1:4" x14ac:dyDescent="0.3">
      <c r="A102" s="307"/>
      <c r="B102" s="308"/>
      <c r="C102" s="308"/>
      <c r="D102" s="309"/>
    </row>
    <row r="103" spans="1:4" ht="46.8" customHeight="1" thickBot="1" x14ac:dyDescent="0.35">
      <c r="A103" s="307"/>
      <c r="B103" s="308"/>
      <c r="C103" s="308"/>
      <c r="D103" s="309"/>
    </row>
    <row r="104" spans="1:4" ht="25.8" thickBot="1" x14ac:dyDescent="0.35">
      <c r="A104" s="350" t="s">
        <v>0</v>
      </c>
      <c r="B104" s="351"/>
      <c r="C104" s="351"/>
      <c r="D104" s="352"/>
    </row>
    <row r="105" spans="1:4" x14ac:dyDescent="0.3">
      <c r="A105" s="11" t="s">
        <v>1</v>
      </c>
      <c r="B105" s="3" t="str">
        <f>'ROL DE AGOSTO'!D11</f>
        <v>FLAVIO FEDERICO GREFA SHIGUANGO</v>
      </c>
      <c r="C105" s="3"/>
      <c r="D105" s="12"/>
    </row>
    <row r="106" spans="1:4" x14ac:dyDescent="0.3">
      <c r="A106" s="11" t="s">
        <v>2</v>
      </c>
      <c r="B106" s="10" t="s">
        <v>303</v>
      </c>
      <c r="C106" s="4"/>
      <c r="D106" s="13"/>
    </row>
    <row r="107" spans="1:4" x14ac:dyDescent="0.3">
      <c r="A107" s="11" t="s">
        <v>3</v>
      </c>
      <c r="B107" s="3" t="str">
        <f>'ROL DE AGOSTO'!E11</f>
        <v>2 VOCAL</v>
      </c>
      <c r="C107" s="4"/>
      <c r="D107" s="14"/>
    </row>
    <row r="108" spans="1:4" x14ac:dyDescent="0.3">
      <c r="A108" s="11" t="s">
        <v>26</v>
      </c>
      <c r="B108" s="3" t="str">
        <f>'ROL DE AGOSTO'!A11</f>
        <v>AGOSTO</v>
      </c>
      <c r="C108" s="4"/>
      <c r="D108" s="15"/>
    </row>
    <row r="109" spans="1:4" x14ac:dyDescent="0.3">
      <c r="A109" s="11" t="s">
        <v>99</v>
      </c>
      <c r="B109" s="55">
        <f>'ROL DE AGOSTO'!B11</f>
        <v>2023</v>
      </c>
      <c r="C109" s="4"/>
      <c r="D109" s="15"/>
    </row>
    <row r="110" spans="1:4" x14ac:dyDescent="0.3">
      <c r="A110" s="203" t="s">
        <v>94</v>
      </c>
      <c r="B110" s="204"/>
      <c r="C110" s="205" t="s">
        <v>5</v>
      </c>
      <c r="D110" s="206" t="s">
        <v>6</v>
      </c>
    </row>
    <row r="111" spans="1:4" x14ac:dyDescent="0.3">
      <c r="A111" s="18"/>
      <c r="B111" s="6"/>
      <c r="C111" s="7"/>
      <c r="D111" s="19"/>
    </row>
    <row r="112" spans="1:4" x14ac:dyDescent="0.3">
      <c r="A112" s="26" t="s">
        <v>16</v>
      </c>
      <c r="B112" s="27"/>
      <c r="C112" s="28">
        <f>'ROL DE AGOSTO'!K12</f>
        <v>536</v>
      </c>
      <c r="D112" s="29"/>
    </row>
    <row r="113" spans="1:4" x14ac:dyDescent="0.3">
      <c r="A113" s="26" t="s">
        <v>105</v>
      </c>
      <c r="B113" s="27"/>
      <c r="C113" s="28"/>
      <c r="D113" s="29"/>
    </row>
    <row r="114" spans="1:4" x14ac:dyDescent="0.3">
      <c r="A114" s="26" t="s">
        <v>8</v>
      </c>
      <c r="B114" s="27"/>
      <c r="C114" s="28"/>
      <c r="D114" s="29"/>
    </row>
    <row r="115" spans="1:4" x14ac:dyDescent="0.3">
      <c r="A115" s="26" t="s">
        <v>9</v>
      </c>
      <c r="B115" s="27"/>
      <c r="C115" s="28"/>
      <c r="D115" s="29"/>
    </row>
    <row r="116" spans="1:4" ht="24" x14ac:dyDescent="0.3">
      <c r="A116" s="26"/>
      <c r="B116" s="27" t="s">
        <v>10</v>
      </c>
      <c r="C116" s="28"/>
      <c r="D116" s="29">
        <f>'ROL DE AGOSTO'!L11</f>
        <v>61.37</v>
      </c>
    </row>
    <row r="117" spans="1:4" ht="24" x14ac:dyDescent="0.3">
      <c r="A117" s="26"/>
      <c r="B117" s="27" t="s">
        <v>11</v>
      </c>
      <c r="C117" s="28"/>
      <c r="D117" s="29"/>
    </row>
    <row r="118" spans="1:4" x14ac:dyDescent="0.3">
      <c r="A118" s="26"/>
      <c r="B118" s="27" t="s">
        <v>55</v>
      </c>
      <c r="C118" s="28"/>
      <c r="D118" s="29">
        <f>'ROL DE AGOSTO'!S11</f>
        <v>268</v>
      </c>
    </row>
    <row r="119" spans="1:4" ht="24" x14ac:dyDescent="0.3">
      <c r="A119" s="26"/>
      <c r="B119" s="27" t="s">
        <v>18</v>
      </c>
      <c r="C119" s="28"/>
      <c r="D119" s="29">
        <f>'ROL DE AGOSTO'!P11</f>
        <v>85</v>
      </c>
    </row>
    <row r="120" spans="1:4" x14ac:dyDescent="0.3">
      <c r="A120" s="207"/>
      <c r="B120" s="208" t="s">
        <v>12</v>
      </c>
      <c r="C120" s="209">
        <f>SUM(C112:C119)</f>
        <v>536</v>
      </c>
      <c r="D120" s="210">
        <f>SUM(D112:D119)</f>
        <v>414.37</v>
      </c>
    </row>
    <row r="121" spans="1:4" ht="28.2" x14ac:dyDescent="0.3">
      <c r="A121" s="21"/>
      <c r="B121" s="45"/>
      <c r="C121" s="211" t="s">
        <v>13</v>
      </c>
      <c r="D121" s="212">
        <f>+C120-D120</f>
        <v>121.63</v>
      </c>
    </row>
    <row r="122" spans="1:4" ht="15" thickBot="1" x14ac:dyDescent="0.35">
      <c r="A122" s="23"/>
      <c r="B122" s="4" t="s">
        <v>14</v>
      </c>
      <c r="C122" s="2"/>
      <c r="D122" s="24"/>
    </row>
    <row r="123" spans="1:4" x14ac:dyDescent="0.3">
      <c r="A123" s="213" t="s">
        <v>28</v>
      </c>
      <c r="B123" s="213" t="s">
        <v>93</v>
      </c>
      <c r="C123" s="348" t="s">
        <v>30</v>
      </c>
      <c r="D123" s="349"/>
    </row>
    <row r="124" spans="1:4" x14ac:dyDescent="0.3">
      <c r="A124" s="37"/>
      <c r="B124" s="34"/>
      <c r="C124" s="32"/>
      <c r="D124" s="25"/>
    </row>
    <row r="125" spans="1:4" x14ac:dyDescent="0.3">
      <c r="A125" s="37"/>
      <c r="B125" s="34"/>
      <c r="C125" s="32"/>
      <c r="D125" s="25"/>
    </row>
    <row r="126" spans="1:4" x14ac:dyDescent="0.3">
      <c r="A126" s="37"/>
      <c r="B126" s="34"/>
      <c r="C126" s="32"/>
      <c r="D126" s="25"/>
    </row>
    <row r="127" spans="1:4" x14ac:dyDescent="0.3">
      <c r="A127" s="37"/>
      <c r="B127" s="34"/>
      <c r="C127" s="32"/>
      <c r="D127" s="25"/>
    </row>
    <row r="128" spans="1:4" x14ac:dyDescent="0.3">
      <c r="A128" s="37"/>
      <c r="B128" s="34"/>
      <c r="C128" s="32"/>
      <c r="D128" s="25"/>
    </row>
    <row r="129" spans="1:4" x14ac:dyDescent="0.3">
      <c r="A129" s="38" t="s">
        <v>298</v>
      </c>
      <c r="B129" s="35" t="s">
        <v>297</v>
      </c>
      <c r="C129" s="290" t="str">
        <f>B105</f>
        <v>FLAVIO FEDERICO GREFA SHIGUANGO</v>
      </c>
      <c r="D129" s="291"/>
    </row>
    <row r="130" spans="1:4" ht="15" customHeight="1" thickBot="1" x14ac:dyDescent="0.35">
      <c r="A130" s="36" t="s">
        <v>246</v>
      </c>
      <c r="B130" s="33" t="s">
        <v>299</v>
      </c>
      <c r="C130" s="353" t="str">
        <f>B106</f>
        <v>1500367295</v>
      </c>
      <c r="D130" s="354"/>
    </row>
    <row r="133" spans="1:4" ht="15" thickBot="1" x14ac:dyDescent="0.35"/>
    <row r="134" spans="1:4" x14ac:dyDescent="0.3">
      <c r="A134" s="294"/>
      <c r="B134" s="295"/>
      <c r="C134" s="295"/>
      <c r="D134" s="296"/>
    </row>
    <row r="135" spans="1:4" x14ac:dyDescent="0.3">
      <c r="A135" s="307"/>
      <c r="B135" s="308"/>
      <c r="C135" s="308"/>
      <c r="D135" s="309"/>
    </row>
    <row r="136" spans="1:4" ht="15" thickBot="1" x14ac:dyDescent="0.35">
      <c r="A136" s="307"/>
      <c r="B136" s="308"/>
      <c r="C136" s="308"/>
      <c r="D136" s="309"/>
    </row>
    <row r="137" spans="1:4" ht="25.8" thickBot="1" x14ac:dyDescent="0.35">
      <c r="A137" s="350" t="s">
        <v>0</v>
      </c>
      <c r="B137" s="351"/>
      <c r="C137" s="351"/>
      <c r="D137" s="352"/>
    </row>
    <row r="138" spans="1:4" x14ac:dyDescent="0.3">
      <c r="A138" s="11" t="s">
        <v>1</v>
      </c>
      <c r="B138" s="3" t="str">
        <f>'ROL DE AGOSTO'!D12</f>
        <v>JEANET VIVIANA VASQUEZ YUMBO</v>
      </c>
      <c r="C138" s="3"/>
      <c r="D138" s="12"/>
    </row>
    <row r="139" spans="1:4" x14ac:dyDescent="0.3">
      <c r="A139" s="11" t="s">
        <v>2</v>
      </c>
      <c r="B139" s="55">
        <f>'ROL DE AGOSTO'!C12</f>
        <v>1500814940</v>
      </c>
      <c r="C139" s="4"/>
      <c r="D139" s="13"/>
    </row>
    <row r="140" spans="1:4" x14ac:dyDescent="0.3">
      <c r="A140" s="11" t="s">
        <v>3</v>
      </c>
      <c r="B140" s="3" t="str">
        <f>'ROL DE AGOSTO'!E12</f>
        <v>3 VOCAL</v>
      </c>
      <c r="C140" s="4"/>
      <c r="D140" s="14"/>
    </row>
    <row r="141" spans="1:4" x14ac:dyDescent="0.3">
      <c r="A141" s="11" t="s">
        <v>26</v>
      </c>
      <c r="B141" s="3" t="str">
        <f>'ROL DE AGOSTO'!A12</f>
        <v>AGOSTO</v>
      </c>
      <c r="C141" s="4"/>
      <c r="D141" s="15"/>
    </row>
    <row r="142" spans="1:4" x14ac:dyDescent="0.3">
      <c r="A142" s="11" t="s">
        <v>99</v>
      </c>
      <c r="B142" s="55">
        <f>'ROL DE AGOSTO'!B12</f>
        <v>2023</v>
      </c>
      <c r="C142" s="4"/>
      <c r="D142" s="15"/>
    </row>
    <row r="143" spans="1:4" x14ac:dyDescent="0.3">
      <c r="A143" s="203" t="s">
        <v>94</v>
      </c>
      <c r="B143" s="204"/>
      <c r="C143" s="205" t="s">
        <v>5</v>
      </c>
      <c r="D143" s="206" t="s">
        <v>6</v>
      </c>
    </row>
    <row r="144" spans="1:4" x14ac:dyDescent="0.3">
      <c r="A144" s="18"/>
      <c r="B144" s="6"/>
      <c r="C144" s="7"/>
      <c r="D144" s="19"/>
    </row>
    <row r="145" spans="1:4" x14ac:dyDescent="0.3">
      <c r="A145" s="26" t="s">
        <v>16</v>
      </c>
      <c r="B145" s="27"/>
      <c r="C145" s="28">
        <f>'ROL DE AGOSTO'!F12</f>
        <v>536</v>
      </c>
      <c r="D145" s="29"/>
    </row>
    <row r="146" spans="1:4" x14ac:dyDescent="0.3">
      <c r="A146" s="26" t="s">
        <v>105</v>
      </c>
      <c r="B146" s="27"/>
      <c r="C146" s="28"/>
      <c r="D146" s="29"/>
    </row>
    <row r="147" spans="1:4" x14ac:dyDescent="0.3">
      <c r="A147" s="26" t="s">
        <v>8</v>
      </c>
      <c r="B147" s="27"/>
      <c r="C147" s="28"/>
      <c r="D147" s="29"/>
    </row>
    <row r="148" spans="1:4" x14ac:dyDescent="0.3">
      <c r="A148" s="26" t="s">
        <v>9</v>
      </c>
      <c r="B148" s="27"/>
      <c r="C148" s="28"/>
      <c r="D148" s="29"/>
    </row>
    <row r="149" spans="1:4" ht="24" x14ac:dyDescent="0.3">
      <c r="A149" s="26"/>
      <c r="B149" s="27" t="s">
        <v>10</v>
      </c>
      <c r="C149" s="28"/>
      <c r="D149" s="29">
        <f>'ROL DE AGOSTO'!L12</f>
        <v>61.37</v>
      </c>
    </row>
    <row r="150" spans="1:4" ht="24" x14ac:dyDescent="0.3">
      <c r="A150" s="26"/>
      <c r="B150" s="27" t="s">
        <v>11</v>
      </c>
      <c r="C150" s="28"/>
      <c r="D150" s="29">
        <f>'ROL DE AGOSTO'!O141</f>
        <v>0</v>
      </c>
    </row>
    <row r="151" spans="1:4" x14ac:dyDescent="0.3">
      <c r="A151" s="26"/>
      <c r="B151" s="27" t="s">
        <v>55</v>
      </c>
      <c r="C151" s="28"/>
      <c r="D151" s="29">
        <f>'ROL DE AGOSTO'!S12</f>
        <v>229.71428571428572</v>
      </c>
    </row>
    <row r="152" spans="1:4" ht="24" x14ac:dyDescent="0.3">
      <c r="A152" s="26"/>
      <c r="B152" s="27" t="s">
        <v>18</v>
      </c>
      <c r="C152" s="28"/>
      <c r="D152" s="29">
        <f>'ROL DE AGOSTO'!P12</f>
        <v>72.349999999999994</v>
      </c>
    </row>
    <row r="153" spans="1:4" x14ac:dyDescent="0.3">
      <c r="A153" s="207"/>
      <c r="B153" s="208" t="s">
        <v>12</v>
      </c>
      <c r="C153" s="209">
        <f>SUM(C145:C152)</f>
        <v>536</v>
      </c>
      <c r="D153" s="210">
        <f>SUM(D145:D152)</f>
        <v>363.43428571428569</v>
      </c>
    </row>
    <row r="154" spans="1:4" ht="28.2" x14ac:dyDescent="0.3">
      <c r="A154" s="21"/>
      <c r="B154" s="45"/>
      <c r="C154" s="211" t="s">
        <v>13</v>
      </c>
      <c r="D154" s="212">
        <f>+C153-D153</f>
        <v>172.56571428571431</v>
      </c>
    </row>
    <row r="155" spans="1:4" ht="15" thickBot="1" x14ac:dyDescent="0.35">
      <c r="A155" s="23"/>
      <c r="B155" s="4" t="s">
        <v>14</v>
      </c>
      <c r="C155" s="2"/>
      <c r="D155" s="24"/>
    </row>
    <row r="156" spans="1:4" x14ac:dyDescent="0.3">
      <c r="A156" s="213" t="s">
        <v>28</v>
      </c>
      <c r="B156" s="213" t="s">
        <v>93</v>
      </c>
      <c r="C156" s="348" t="s">
        <v>30</v>
      </c>
      <c r="D156" s="349"/>
    </row>
    <row r="157" spans="1:4" x14ac:dyDescent="0.3">
      <c r="A157" s="37"/>
      <c r="B157" s="34"/>
      <c r="C157" s="32"/>
      <c r="D157" s="25"/>
    </row>
    <row r="158" spans="1:4" x14ac:dyDescent="0.3">
      <c r="A158" s="37"/>
      <c r="B158" s="34"/>
      <c r="C158" s="32"/>
      <c r="D158" s="25"/>
    </row>
    <row r="159" spans="1:4" x14ac:dyDescent="0.3">
      <c r="A159" s="37"/>
      <c r="B159" s="34"/>
      <c r="C159" s="32"/>
      <c r="D159" s="25"/>
    </row>
    <row r="160" spans="1:4" x14ac:dyDescent="0.3">
      <c r="A160" s="37"/>
      <c r="B160" s="34"/>
      <c r="C160" s="32"/>
      <c r="D160" s="25"/>
    </row>
    <row r="161" spans="1:4" x14ac:dyDescent="0.3">
      <c r="A161" s="37"/>
      <c r="B161" s="34"/>
      <c r="C161" s="32"/>
      <c r="D161" s="25"/>
    </row>
    <row r="162" spans="1:4" x14ac:dyDescent="0.3">
      <c r="A162" s="38" t="s">
        <v>298</v>
      </c>
      <c r="B162" s="35" t="s">
        <v>297</v>
      </c>
      <c r="C162" s="290" t="str">
        <f>'ROL INDIVIDUAL'!B138</f>
        <v>JEANET VIVIANA VASQUEZ YUMBO</v>
      </c>
      <c r="D162" s="291"/>
    </row>
    <row r="163" spans="1:4" ht="15" thickBot="1" x14ac:dyDescent="0.35">
      <c r="A163" s="36" t="s">
        <v>246</v>
      </c>
      <c r="B163" s="33" t="s">
        <v>299</v>
      </c>
      <c r="C163" s="353">
        <f>B139</f>
        <v>1500814940</v>
      </c>
      <c r="D163" s="354"/>
    </row>
    <row r="164" spans="1:4" x14ac:dyDescent="0.3">
      <c r="A164" s="214"/>
      <c r="B164" s="58"/>
      <c r="C164" s="59"/>
      <c r="D164" s="215"/>
    </row>
    <row r="165" spans="1:4" ht="15" thickBot="1" x14ac:dyDescent="0.35">
      <c r="A165" s="214"/>
      <c r="B165" s="58"/>
      <c r="C165" s="59"/>
      <c r="D165" s="215"/>
    </row>
    <row r="166" spans="1:4" x14ac:dyDescent="0.3">
      <c r="A166" s="294"/>
      <c r="B166" s="295"/>
      <c r="C166" s="295"/>
      <c r="D166" s="296"/>
    </row>
    <row r="167" spans="1:4" x14ac:dyDescent="0.3">
      <c r="A167" s="307"/>
      <c r="B167" s="308"/>
      <c r="C167" s="308"/>
      <c r="D167" s="309"/>
    </row>
    <row r="168" spans="1:4" ht="15" thickBot="1" x14ac:dyDescent="0.35">
      <c r="A168" s="307"/>
      <c r="B168" s="308"/>
      <c r="C168" s="308"/>
      <c r="D168" s="309"/>
    </row>
    <row r="169" spans="1:4" ht="25.8" thickBot="1" x14ac:dyDescent="0.35">
      <c r="A169" s="350" t="s">
        <v>0</v>
      </c>
      <c r="B169" s="351"/>
      <c r="C169" s="351"/>
      <c r="D169" s="352"/>
    </row>
    <row r="170" spans="1:4" x14ac:dyDescent="0.3">
      <c r="A170" s="11" t="s">
        <v>1</v>
      </c>
      <c r="B170" s="3" t="str">
        <f>'ROL DE AGOSTO'!D13</f>
        <v>BONILLA QUERA  INES ROCIO</v>
      </c>
      <c r="C170" s="3"/>
      <c r="D170" s="12"/>
    </row>
    <row r="171" spans="1:4" x14ac:dyDescent="0.3">
      <c r="A171" s="11" t="s">
        <v>2</v>
      </c>
      <c r="B171" s="10" t="str">
        <f>'ROL DE AGOSTO'!C13</f>
        <v>2200277818</v>
      </c>
      <c r="C171" s="4"/>
      <c r="D171" s="13"/>
    </row>
    <row r="172" spans="1:4" x14ac:dyDescent="0.3">
      <c r="A172" s="11" t="s">
        <v>3</v>
      </c>
      <c r="B172" s="3" t="str">
        <f>'ROL DE AGOSTO'!E13</f>
        <v>TESORERA_SECRETARIA</v>
      </c>
      <c r="C172" s="4"/>
      <c r="D172" s="14"/>
    </row>
    <row r="173" spans="1:4" x14ac:dyDescent="0.3">
      <c r="A173" s="11" t="s">
        <v>26</v>
      </c>
      <c r="B173" s="3" t="str">
        <f>'ROL DE AGOSTO'!A13</f>
        <v>AGOSTO</v>
      </c>
      <c r="C173" s="4"/>
      <c r="D173" s="15"/>
    </row>
    <row r="174" spans="1:4" x14ac:dyDescent="0.3">
      <c r="A174" s="11" t="s">
        <v>99</v>
      </c>
      <c r="B174" s="55">
        <f>'ROL DE AGOSTO'!B13</f>
        <v>2023</v>
      </c>
      <c r="C174" s="4"/>
      <c r="D174" s="15"/>
    </row>
    <row r="175" spans="1:4" x14ac:dyDescent="0.3">
      <c r="A175" s="203" t="s">
        <v>94</v>
      </c>
      <c r="B175" s="204"/>
      <c r="C175" s="205" t="s">
        <v>5</v>
      </c>
      <c r="D175" s="206" t="s">
        <v>6</v>
      </c>
    </row>
    <row r="176" spans="1:4" x14ac:dyDescent="0.3">
      <c r="A176" s="18"/>
      <c r="B176" s="6"/>
      <c r="C176" s="7"/>
      <c r="D176" s="19"/>
    </row>
    <row r="177" spans="1:4" x14ac:dyDescent="0.3">
      <c r="A177" s="26" t="s">
        <v>16</v>
      </c>
      <c r="B177" s="27"/>
      <c r="C177" s="28">
        <f>'ROL DE AGOSTO'!F13</f>
        <v>733</v>
      </c>
      <c r="D177" s="29"/>
    </row>
    <row r="178" spans="1:4" x14ac:dyDescent="0.3">
      <c r="A178" s="26" t="s">
        <v>105</v>
      </c>
      <c r="B178" s="27"/>
      <c r="C178" s="28"/>
      <c r="D178" s="29"/>
    </row>
    <row r="179" spans="1:4" x14ac:dyDescent="0.3">
      <c r="A179" s="26" t="s">
        <v>8</v>
      </c>
      <c r="B179" s="27"/>
      <c r="C179" s="28"/>
      <c r="D179" s="29"/>
    </row>
    <row r="180" spans="1:4" x14ac:dyDescent="0.3">
      <c r="A180" s="26" t="s">
        <v>9</v>
      </c>
      <c r="B180" s="27"/>
      <c r="C180" s="28"/>
      <c r="D180" s="29"/>
    </row>
    <row r="181" spans="1:4" ht="24" x14ac:dyDescent="0.3">
      <c r="A181" s="26"/>
      <c r="B181" s="27" t="s">
        <v>10</v>
      </c>
      <c r="C181" s="28"/>
      <c r="D181" s="29">
        <f>'ROL DE AGOSTO'!L13</f>
        <v>83.93</v>
      </c>
    </row>
    <row r="182" spans="1:4" ht="24" x14ac:dyDescent="0.3">
      <c r="A182" s="26"/>
      <c r="B182" s="27" t="s">
        <v>11</v>
      </c>
      <c r="C182" s="28"/>
      <c r="D182" s="29">
        <f>'ROL DE AGOSTO'!O142</f>
        <v>0</v>
      </c>
    </row>
    <row r="183" spans="1:4" x14ac:dyDescent="0.3">
      <c r="A183" s="26"/>
      <c r="B183" s="27" t="s">
        <v>55</v>
      </c>
      <c r="C183" s="28"/>
      <c r="D183" s="29">
        <f>'ROL DE AGOSTO'!S142</f>
        <v>0</v>
      </c>
    </row>
    <row r="184" spans="1:4" ht="24" x14ac:dyDescent="0.3">
      <c r="A184" s="26"/>
      <c r="B184" s="27" t="s">
        <v>18</v>
      </c>
      <c r="C184" s="28"/>
      <c r="D184" s="29">
        <f>'ROL DE AGOSTO'!P142</f>
        <v>0</v>
      </c>
    </row>
    <row r="185" spans="1:4" x14ac:dyDescent="0.3">
      <c r="A185" s="207"/>
      <c r="B185" s="208" t="s">
        <v>12</v>
      </c>
      <c r="C185" s="209">
        <f>SUM(C177:C184)</f>
        <v>733</v>
      </c>
      <c r="D185" s="210">
        <f>SUM(D177:D184)</f>
        <v>83.93</v>
      </c>
    </row>
    <row r="186" spans="1:4" ht="28.2" x14ac:dyDescent="0.3">
      <c r="A186" s="21"/>
      <c r="B186" s="45"/>
      <c r="C186" s="211" t="s">
        <v>13</v>
      </c>
      <c r="D186" s="212">
        <f>+C185-D185</f>
        <v>649.06999999999994</v>
      </c>
    </row>
    <row r="187" spans="1:4" ht="15" thickBot="1" x14ac:dyDescent="0.35">
      <c r="A187" s="23"/>
      <c r="B187" s="4" t="s">
        <v>14</v>
      </c>
      <c r="C187" s="2"/>
      <c r="D187" s="24"/>
    </row>
    <row r="188" spans="1:4" x14ac:dyDescent="0.3">
      <c r="A188" s="213" t="s">
        <v>28</v>
      </c>
      <c r="B188" s="213" t="s">
        <v>93</v>
      </c>
      <c r="C188" s="348" t="s">
        <v>30</v>
      </c>
      <c r="D188" s="349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8" t="s">
        <v>298</v>
      </c>
      <c r="B194" s="35" t="s">
        <v>297</v>
      </c>
      <c r="C194" s="290" t="str">
        <f>B170</f>
        <v>BONILLA QUERA  INES ROCIO</v>
      </c>
      <c r="D194" s="291"/>
    </row>
    <row r="195" spans="1:4" ht="15" thickBot="1" x14ac:dyDescent="0.35">
      <c r="A195" s="36" t="s">
        <v>246</v>
      </c>
      <c r="B195" s="33" t="s">
        <v>299</v>
      </c>
      <c r="C195" s="353" t="str">
        <f>B171</f>
        <v>2200277818</v>
      </c>
      <c r="D195" s="354"/>
    </row>
    <row r="203" spans="1:4" ht="15" thickBot="1" x14ac:dyDescent="0.35"/>
    <row r="204" spans="1:4" x14ac:dyDescent="0.3">
      <c r="A204" s="294"/>
      <c r="B204" s="295"/>
      <c r="C204" s="295"/>
      <c r="D204" s="296"/>
    </row>
    <row r="205" spans="1:4" x14ac:dyDescent="0.3">
      <c r="A205" s="307"/>
      <c r="B205" s="308"/>
      <c r="C205" s="308"/>
      <c r="D205" s="309"/>
    </row>
    <row r="206" spans="1:4" ht="15" thickBot="1" x14ac:dyDescent="0.35">
      <c r="A206" s="307"/>
      <c r="B206" s="308"/>
      <c r="C206" s="308"/>
      <c r="D206" s="309"/>
    </row>
    <row r="207" spans="1:4" ht="25.8" thickBot="1" x14ac:dyDescent="0.35">
      <c r="A207" s="350" t="s">
        <v>0</v>
      </c>
      <c r="B207" s="351"/>
      <c r="C207" s="351"/>
      <c r="D207" s="352"/>
    </row>
    <row r="208" spans="1:4" x14ac:dyDescent="0.3">
      <c r="A208" s="11" t="s">
        <v>1</v>
      </c>
      <c r="B208" s="3" t="str">
        <f>'ROL DE AGOSTO'!D29</f>
        <v>AREVALO VILLACRES MONICA LETICIA</v>
      </c>
      <c r="C208" s="3"/>
      <c r="D208" s="12"/>
    </row>
    <row r="209" spans="1:4" x14ac:dyDescent="0.3">
      <c r="A209" s="11" t="s">
        <v>2</v>
      </c>
      <c r="B209" s="55" t="str">
        <f>'ROL DE AGOSTO'!C29</f>
        <v>2250187560</v>
      </c>
      <c r="C209" s="4"/>
      <c r="D209" s="13"/>
    </row>
    <row r="210" spans="1:4" x14ac:dyDescent="0.3">
      <c r="A210" s="11" t="s">
        <v>3</v>
      </c>
      <c r="B210" s="3" t="str">
        <f>'ROL DE AGOSTO'!E29</f>
        <v>SECRETARIA-AUXILIAR</v>
      </c>
      <c r="C210" s="4"/>
      <c r="D210" s="14"/>
    </row>
    <row r="211" spans="1:4" x14ac:dyDescent="0.3">
      <c r="A211" s="11" t="s">
        <v>26</v>
      </c>
      <c r="B211" s="3" t="str">
        <f>'ROL DE AGOSTO'!A29</f>
        <v>AGOSTO</v>
      </c>
      <c r="C211" s="4"/>
      <c r="D211" s="15"/>
    </row>
    <row r="212" spans="1:4" x14ac:dyDescent="0.3">
      <c r="A212" s="11" t="s">
        <v>99</v>
      </c>
      <c r="B212" s="55">
        <f>'ROL DE AGOSTO'!B211</f>
        <v>0</v>
      </c>
      <c r="C212" s="4"/>
      <c r="D212" s="15"/>
    </row>
    <row r="213" spans="1:4" x14ac:dyDescent="0.3">
      <c r="A213" s="203" t="s">
        <v>94</v>
      </c>
      <c r="B213" s="204"/>
      <c r="C213" s="205" t="s">
        <v>5</v>
      </c>
      <c r="D213" s="206" t="s">
        <v>6</v>
      </c>
    </row>
    <row r="214" spans="1:4" x14ac:dyDescent="0.3">
      <c r="A214" s="18"/>
      <c r="B214" s="6"/>
      <c r="C214" s="7"/>
      <c r="D214" s="19"/>
    </row>
    <row r="215" spans="1:4" x14ac:dyDescent="0.3">
      <c r="A215" s="26" t="s">
        <v>16</v>
      </c>
      <c r="B215" s="27"/>
      <c r="C215" s="28">
        <f>'ROL DE AGOSTO'!F29</f>
        <v>553</v>
      </c>
      <c r="D215" s="29"/>
    </row>
    <row r="216" spans="1:4" x14ac:dyDescent="0.3">
      <c r="A216" s="26" t="s">
        <v>105</v>
      </c>
      <c r="B216" s="27"/>
      <c r="C216" s="28"/>
      <c r="D216" s="29"/>
    </row>
    <row r="217" spans="1:4" x14ac:dyDescent="0.3">
      <c r="A217" s="26" t="s">
        <v>8</v>
      </c>
      <c r="B217" s="27"/>
      <c r="C217" s="28"/>
      <c r="D217" s="29"/>
    </row>
    <row r="218" spans="1:4" x14ac:dyDescent="0.3">
      <c r="A218" s="26" t="s">
        <v>9</v>
      </c>
      <c r="B218" s="27"/>
      <c r="C218" s="28"/>
      <c r="D218" s="29"/>
    </row>
    <row r="219" spans="1:4" ht="24" x14ac:dyDescent="0.3">
      <c r="A219" s="26"/>
      <c r="B219" s="27" t="s">
        <v>10</v>
      </c>
      <c r="C219" s="28"/>
      <c r="D219" s="29">
        <f>'ROL DE AGOSTO'!L29</f>
        <v>52.258499999999991</v>
      </c>
    </row>
    <row r="220" spans="1:4" ht="24" x14ac:dyDescent="0.3">
      <c r="A220" s="26"/>
      <c r="B220" s="27" t="s">
        <v>304</v>
      </c>
      <c r="C220" s="28"/>
      <c r="D220" s="29">
        <f>'ROL DE AGOSTO'!O29</f>
        <v>0</v>
      </c>
    </row>
    <row r="221" spans="1:4" x14ac:dyDescent="0.3">
      <c r="A221" s="26"/>
      <c r="B221" s="27" t="s">
        <v>55</v>
      </c>
      <c r="C221" s="28"/>
      <c r="D221" s="29">
        <f>'ROL DE AGOSTO'!S29</f>
        <v>0</v>
      </c>
    </row>
    <row r="222" spans="1:4" ht="24" x14ac:dyDescent="0.3">
      <c r="A222" s="26"/>
      <c r="B222" s="27" t="s">
        <v>18</v>
      </c>
      <c r="C222" s="28"/>
      <c r="D222" s="29">
        <f>'ROL DE AGOSTO'!P29</f>
        <v>0</v>
      </c>
    </row>
    <row r="223" spans="1:4" x14ac:dyDescent="0.3">
      <c r="A223" s="207"/>
      <c r="B223" s="208" t="s">
        <v>12</v>
      </c>
      <c r="C223" s="209">
        <f>SUM(C215:C222)</f>
        <v>553</v>
      </c>
      <c r="D223" s="210">
        <f>SUM(D215:D222)</f>
        <v>52.258499999999991</v>
      </c>
    </row>
    <row r="224" spans="1:4" ht="28.2" x14ac:dyDescent="0.3">
      <c r="A224" s="21"/>
      <c r="B224" s="45"/>
      <c r="C224" s="211" t="s">
        <v>13</v>
      </c>
      <c r="D224" s="212">
        <f>+C223-D223</f>
        <v>500.74150000000003</v>
      </c>
    </row>
    <row r="225" spans="1:4" ht="15" thickBot="1" x14ac:dyDescent="0.35">
      <c r="A225" s="23"/>
      <c r="B225" s="4" t="s">
        <v>14</v>
      </c>
      <c r="C225" s="2"/>
      <c r="D225" s="24"/>
    </row>
    <row r="226" spans="1:4" x14ac:dyDescent="0.3">
      <c r="A226" s="213" t="s">
        <v>28</v>
      </c>
      <c r="B226" s="213" t="s">
        <v>93</v>
      </c>
      <c r="C226" s="348" t="s">
        <v>30</v>
      </c>
      <c r="D226" s="349"/>
    </row>
    <row r="227" spans="1:4" x14ac:dyDescent="0.3">
      <c r="A227" s="37"/>
      <c r="B227" s="34"/>
      <c r="C227" s="32"/>
      <c r="D227" s="25"/>
    </row>
    <row r="228" spans="1:4" x14ac:dyDescent="0.3">
      <c r="A228" s="37"/>
      <c r="B228" s="34"/>
      <c r="C228" s="32"/>
      <c r="D228" s="25"/>
    </row>
    <row r="229" spans="1:4" x14ac:dyDescent="0.3">
      <c r="A229" s="37"/>
      <c r="B229" s="34"/>
      <c r="C229" s="32"/>
      <c r="D229" s="25"/>
    </row>
    <row r="230" spans="1:4" x14ac:dyDescent="0.3">
      <c r="A230" s="37"/>
      <c r="B230" s="34"/>
      <c r="C230" s="32"/>
      <c r="D230" s="25"/>
    </row>
    <row r="231" spans="1:4" x14ac:dyDescent="0.3">
      <c r="A231" s="37"/>
      <c r="B231" s="34"/>
      <c r="C231" s="32"/>
      <c r="D231" s="25"/>
    </row>
    <row r="232" spans="1:4" x14ac:dyDescent="0.3">
      <c r="A232" s="38" t="s">
        <v>298</v>
      </c>
      <c r="B232" s="35" t="s">
        <v>297</v>
      </c>
      <c r="C232" s="290" t="str">
        <f>'ROL INDIVIDUAL'!B208</f>
        <v>AREVALO VILLACRES MONICA LETICIA</v>
      </c>
      <c r="D232" s="291"/>
    </row>
    <row r="233" spans="1:4" ht="15" thickBot="1" x14ac:dyDescent="0.35">
      <c r="A233" s="36" t="s">
        <v>246</v>
      </c>
      <c r="B233" s="33" t="s">
        <v>299</v>
      </c>
      <c r="C233" s="353" t="str">
        <f>B209</f>
        <v>2250187560</v>
      </c>
      <c r="D233" s="354"/>
    </row>
    <row r="234" spans="1:4" x14ac:dyDescent="0.3">
      <c r="A234" s="214"/>
      <c r="B234" s="58"/>
      <c r="C234" s="59"/>
      <c r="D234" s="215"/>
    </row>
    <row r="235" spans="1:4" ht="15" thickBot="1" x14ac:dyDescent="0.35">
      <c r="A235" s="214"/>
      <c r="B235" s="58"/>
      <c r="C235" s="59"/>
      <c r="D235" s="215"/>
    </row>
    <row r="236" spans="1:4" x14ac:dyDescent="0.3">
      <c r="A236" s="294"/>
      <c r="B236" s="295"/>
      <c r="C236" s="295"/>
      <c r="D236" s="296"/>
    </row>
    <row r="237" spans="1:4" x14ac:dyDescent="0.3">
      <c r="A237" s="307"/>
      <c r="B237" s="308"/>
      <c r="C237" s="308"/>
      <c r="D237" s="309"/>
    </row>
    <row r="238" spans="1:4" ht="15" thickBot="1" x14ac:dyDescent="0.35">
      <c r="A238" s="307"/>
      <c r="B238" s="308"/>
      <c r="C238" s="308"/>
      <c r="D238" s="309"/>
    </row>
    <row r="239" spans="1:4" ht="25.8" thickBot="1" x14ac:dyDescent="0.35">
      <c r="A239" s="350" t="s">
        <v>0</v>
      </c>
      <c r="B239" s="351"/>
      <c r="C239" s="351"/>
      <c r="D239" s="352"/>
    </row>
    <row r="240" spans="1:4" x14ac:dyDescent="0.3">
      <c r="A240" s="11" t="s">
        <v>1</v>
      </c>
      <c r="B240" s="3" t="str">
        <f>'ROL DE AGOSTO'!D30</f>
        <v>CHALCO HURTADO WILMER HERNANDO</v>
      </c>
      <c r="C240" s="3"/>
      <c r="D240" s="12"/>
    </row>
    <row r="241" spans="1:4" x14ac:dyDescent="0.3">
      <c r="A241" s="11" t="s">
        <v>2</v>
      </c>
      <c r="B241" s="218" t="str">
        <f>'ROL DE AGOSTO'!C30</f>
        <v>0702864372</v>
      </c>
      <c r="C241" s="4"/>
      <c r="D241" s="13"/>
    </row>
    <row r="242" spans="1:4" x14ac:dyDescent="0.3">
      <c r="A242" s="11" t="s">
        <v>3</v>
      </c>
      <c r="B242" s="3" t="str">
        <f>'ROL DE AGOSTO'!E30</f>
        <v>OPERADOR EXCAVADORA</v>
      </c>
      <c r="C242" s="4"/>
      <c r="D242" s="14"/>
    </row>
    <row r="243" spans="1:4" x14ac:dyDescent="0.3">
      <c r="A243" s="11" t="s">
        <v>26</v>
      </c>
      <c r="B243" s="3">
        <f>'ROL DE AGOSTO'!A212</f>
        <v>0</v>
      </c>
      <c r="C243" s="4"/>
      <c r="D243" s="15"/>
    </row>
    <row r="244" spans="1:4" x14ac:dyDescent="0.3">
      <c r="A244" s="11" t="s">
        <v>99</v>
      </c>
      <c r="B244" s="55">
        <f>'ROL DE AGOSTO'!B211</f>
        <v>0</v>
      </c>
      <c r="C244" s="4"/>
      <c r="D244" s="15"/>
    </row>
    <row r="245" spans="1:4" x14ac:dyDescent="0.3">
      <c r="A245" s="203" t="s">
        <v>94</v>
      </c>
      <c r="B245" s="204"/>
      <c r="C245" s="205" t="s">
        <v>5</v>
      </c>
      <c r="D245" s="206" t="s">
        <v>6</v>
      </c>
    </row>
    <row r="246" spans="1:4" x14ac:dyDescent="0.3">
      <c r="A246" s="18"/>
      <c r="B246" s="6"/>
      <c r="C246" s="7"/>
      <c r="D246" s="19"/>
    </row>
    <row r="247" spans="1:4" x14ac:dyDescent="0.3">
      <c r="A247" s="26" t="s">
        <v>16</v>
      </c>
      <c r="B247" s="27"/>
      <c r="C247" s="28">
        <f>'ROL DE AGOSTO'!F30</f>
        <v>708</v>
      </c>
      <c r="D247" s="29"/>
    </row>
    <row r="248" spans="1:4" x14ac:dyDescent="0.3">
      <c r="A248" s="26" t="s">
        <v>105</v>
      </c>
      <c r="B248" s="27"/>
      <c r="C248" s="28"/>
      <c r="D248" s="29"/>
    </row>
    <row r="249" spans="1:4" x14ac:dyDescent="0.3">
      <c r="A249" s="26" t="s">
        <v>8</v>
      </c>
      <c r="B249" s="27"/>
      <c r="C249" s="28"/>
      <c r="D249" s="29"/>
    </row>
    <row r="250" spans="1:4" x14ac:dyDescent="0.3">
      <c r="A250" s="26" t="s">
        <v>9</v>
      </c>
      <c r="B250" s="27"/>
      <c r="C250" s="28"/>
      <c r="D250" s="29"/>
    </row>
    <row r="251" spans="1:4" ht="24" x14ac:dyDescent="0.3">
      <c r="A251" s="26"/>
      <c r="B251" s="27" t="s">
        <v>10</v>
      </c>
      <c r="C251" s="28"/>
      <c r="D251" s="29">
        <f>'ROL DE AGOSTO'!L30</f>
        <v>66.905999999999992</v>
      </c>
    </row>
    <row r="252" spans="1:4" ht="24" x14ac:dyDescent="0.3">
      <c r="A252" s="26"/>
      <c r="B252" s="27" t="s">
        <v>11</v>
      </c>
      <c r="C252" s="28"/>
      <c r="D252" s="29">
        <f>'ROL DE AGOSTO'!O30</f>
        <v>0</v>
      </c>
    </row>
    <row r="253" spans="1:4" x14ac:dyDescent="0.3">
      <c r="A253" s="26"/>
      <c r="B253" s="27" t="s">
        <v>55</v>
      </c>
      <c r="C253" s="28"/>
      <c r="D253" s="29">
        <f>'ROL DE AGOSTO'!S30</f>
        <v>157.33333333333334</v>
      </c>
    </row>
    <row r="254" spans="1:4" ht="24" x14ac:dyDescent="0.3">
      <c r="A254" s="26"/>
      <c r="B254" s="27" t="s">
        <v>18</v>
      </c>
      <c r="C254" s="28"/>
      <c r="D254" s="29">
        <f>'ROL DE AGOSTO'!P30</f>
        <v>0</v>
      </c>
    </row>
    <row r="255" spans="1:4" x14ac:dyDescent="0.3">
      <c r="A255" s="207"/>
      <c r="B255" s="208" t="s">
        <v>12</v>
      </c>
      <c r="C255" s="209">
        <f>SUM(C247:C254)</f>
        <v>708</v>
      </c>
      <c r="D255" s="210">
        <f>SUM(D247:D254)</f>
        <v>224.23933333333332</v>
      </c>
    </row>
    <row r="256" spans="1:4" ht="28.2" x14ac:dyDescent="0.3">
      <c r="A256" s="21"/>
      <c r="B256" s="45"/>
      <c r="C256" s="211" t="s">
        <v>13</v>
      </c>
      <c r="D256" s="212">
        <f>+C255-D255</f>
        <v>483.76066666666668</v>
      </c>
    </row>
    <row r="257" spans="1:4" ht="15" thickBot="1" x14ac:dyDescent="0.35">
      <c r="A257" s="23"/>
      <c r="B257" s="4" t="s">
        <v>14</v>
      </c>
      <c r="C257" s="2"/>
      <c r="D257" s="24"/>
    </row>
    <row r="258" spans="1:4" x14ac:dyDescent="0.3">
      <c r="A258" s="213" t="s">
        <v>28</v>
      </c>
      <c r="B258" s="213" t="s">
        <v>93</v>
      </c>
      <c r="C258" s="348" t="s">
        <v>30</v>
      </c>
      <c r="D258" s="349"/>
    </row>
    <row r="259" spans="1:4" x14ac:dyDescent="0.3">
      <c r="A259" s="37"/>
      <c r="B259" s="34"/>
      <c r="C259" s="32"/>
      <c r="D259" s="25"/>
    </row>
    <row r="260" spans="1:4" x14ac:dyDescent="0.3">
      <c r="A260" s="37"/>
      <c r="B260" s="34"/>
      <c r="C260" s="32"/>
      <c r="D260" s="25"/>
    </row>
    <row r="261" spans="1:4" x14ac:dyDescent="0.3">
      <c r="A261" s="37"/>
      <c r="B261" s="34"/>
      <c r="C261" s="32"/>
      <c r="D261" s="25"/>
    </row>
    <row r="262" spans="1:4" x14ac:dyDescent="0.3">
      <c r="A262" s="37"/>
      <c r="B262" s="34"/>
      <c r="C262" s="32"/>
      <c r="D262" s="25"/>
    </row>
    <row r="263" spans="1:4" x14ac:dyDescent="0.3">
      <c r="A263" s="37"/>
      <c r="B263" s="34"/>
      <c r="C263" s="32"/>
      <c r="D263" s="25"/>
    </row>
    <row r="264" spans="1:4" x14ac:dyDescent="0.3">
      <c r="A264" s="38" t="s">
        <v>298</v>
      </c>
      <c r="B264" s="35" t="s">
        <v>297</v>
      </c>
      <c r="C264" s="290" t="str">
        <f>B240</f>
        <v>CHALCO HURTADO WILMER HERNANDO</v>
      </c>
      <c r="D264" s="291"/>
    </row>
    <row r="265" spans="1:4" ht="15" thickBot="1" x14ac:dyDescent="0.35">
      <c r="A265" s="36" t="s">
        <v>246</v>
      </c>
      <c r="B265" s="33" t="s">
        <v>299</v>
      </c>
      <c r="C265" s="353" t="str">
        <f>B241</f>
        <v>0702864372</v>
      </c>
      <c r="D265" s="354"/>
    </row>
    <row r="273" spans="1:4" ht="15" thickBot="1" x14ac:dyDescent="0.35"/>
    <row r="274" spans="1:4" x14ac:dyDescent="0.3">
      <c r="A274" s="294"/>
      <c r="B274" s="295"/>
      <c r="C274" s="295"/>
      <c r="D274" s="296"/>
    </row>
    <row r="275" spans="1:4" x14ac:dyDescent="0.3">
      <c r="A275" s="307"/>
      <c r="B275" s="308"/>
      <c r="C275" s="308"/>
      <c r="D275" s="309"/>
    </row>
    <row r="276" spans="1:4" ht="15" thickBot="1" x14ac:dyDescent="0.35">
      <c r="A276" s="307"/>
      <c r="B276" s="308"/>
      <c r="C276" s="308"/>
      <c r="D276" s="309"/>
    </row>
    <row r="277" spans="1:4" ht="25.8" thickBot="1" x14ac:dyDescent="0.35">
      <c r="A277" s="350" t="s">
        <v>0</v>
      </c>
      <c r="B277" s="351"/>
      <c r="C277" s="351"/>
      <c r="D277" s="352"/>
    </row>
    <row r="278" spans="1:4" x14ac:dyDescent="0.3">
      <c r="A278" s="11" t="s">
        <v>1</v>
      </c>
      <c r="B278" s="3" t="str">
        <f>'ROL DE AGOSTO'!D31</f>
        <v>PAPA COQUINCHE JUAN LEVINGSTONE</v>
      </c>
      <c r="C278" s="3"/>
      <c r="D278" s="12"/>
    </row>
    <row r="279" spans="1:4" x14ac:dyDescent="0.3">
      <c r="A279" s="11" t="s">
        <v>2</v>
      </c>
      <c r="B279" s="218" t="str">
        <f>'ROL DE AGOSTO'!C31</f>
        <v>1500709041</v>
      </c>
      <c r="C279" s="4"/>
      <c r="D279" s="13"/>
    </row>
    <row r="280" spans="1:4" x14ac:dyDescent="0.3">
      <c r="A280" s="11" t="s">
        <v>3</v>
      </c>
      <c r="B280" s="3" t="str">
        <f>'ROL DE AGOSTO'!E31</f>
        <v>OPERADOR MAQUINARIA AGRICOLA</v>
      </c>
      <c r="C280" s="4"/>
      <c r="D280" s="14"/>
    </row>
    <row r="281" spans="1:4" x14ac:dyDescent="0.3">
      <c r="A281" s="11" t="s">
        <v>26</v>
      </c>
      <c r="B281" s="3" t="str">
        <f>'ROL DE AGOSTO'!A31</f>
        <v>AGOSTO</v>
      </c>
      <c r="C281" s="4"/>
      <c r="D281" s="15"/>
    </row>
    <row r="282" spans="1:4" x14ac:dyDescent="0.3">
      <c r="A282" s="11" t="s">
        <v>99</v>
      </c>
      <c r="B282" s="55">
        <f>'ROL DE AGOSTO'!B31</f>
        <v>2023</v>
      </c>
      <c r="C282" s="4"/>
      <c r="D282" s="15"/>
    </row>
    <row r="283" spans="1:4" x14ac:dyDescent="0.3">
      <c r="A283" s="203" t="s">
        <v>94</v>
      </c>
      <c r="B283" s="204"/>
      <c r="C283" s="205" t="s">
        <v>5</v>
      </c>
      <c r="D283" s="206" t="s">
        <v>6</v>
      </c>
    </row>
    <row r="284" spans="1:4" x14ac:dyDescent="0.3">
      <c r="A284" s="18"/>
      <c r="B284" s="6"/>
      <c r="C284" s="7"/>
      <c r="D284" s="19"/>
    </row>
    <row r="285" spans="1:4" x14ac:dyDescent="0.3">
      <c r="A285" s="26" t="s">
        <v>16</v>
      </c>
      <c r="B285" s="27"/>
      <c r="C285" s="28">
        <f>'ROL DE AGOSTO'!F31</f>
        <v>566</v>
      </c>
      <c r="D285" s="29"/>
    </row>
    <row r="286" spans="1:4" x14ac:dyDescent="0.3">
      <c r="A286" s="26" t="s">
        <v>105</v>
      </c>
      <c r="B286" s="27"/>
      <c r="C286" s="28"/>
      <c r="D286" s="29"/>
    </row>
    <row r="287" spans="1:4" x14ac:dyDescent="0.3">
      <c r="A287" s="26" t="s">
        <v>8</v>
      </c>
      <c r="B287" s="27"/>
      <c r="C287" s="28"/>
      <c r="D287" s="29"/>
    </row>
    <row r="288" spans="1:4" x14ac:dyDescent="0.3">
      <c r="A288" s="26" t="s">
        <v>9</v>
      </c>
      <c r="B288" s="27"/>
      <c r="C288" s="28"/>
      <c r="D288" s="29"/>
    </row>
    <row r="289" spans="1:4" ht="24" x14ac:dyDescent="0.3">
      <c r="A289" s="26"/>
      <c r="B289" s="27" t="s">
        <v>10</v>
      </c>
      <c r="C289" s="28"/>
      <c r="D289" s="29">
        <f>'ROL DE AGOSTO'!L31</f>
        <v>53.486999999999995</v>
      </c>
    </row>
    <row r="290" spans="1:4" ht="24" x14ac:dyDescent="0.3">
      <c r="A290" s="26"/>
      <c r="B290" s="27" t="s">
        <v>11</v>
      </c>
      <c r="C290" s="28"/>
      <c r="D290" s="29">
        <f>'ROL DE AGOSTO'!O31</f>
        <v>89.85</v>
      </c>
    </row>
    <row r="291" spans="1:4" x14ac:dyDescent="0.3">
      <c r="A291" s="26"/>
      <c r="B291" s="27" t="s">
        <v>55</v>
      </c>
      <c r="C291" s="28"/>
      <c r="D291" s="29">
        <f>'ROL DE AGOSTO'!S31</f>
        <v>283</v>
      </c>
    </row>
    <row r="292" spans="1:4" ht="24" x14ac:dyDescent="0.3">
      <c r="A292" s="26"/>
      <c r="B292" s="27" t="s">
        <v>18</v>
      </c>
      <c r="C292" s="28"/>
      <c r="D292" s="29">
        <f>'ROL DE AGOSTO'!P31</f>
        <v>0</v>
      </c>
    </row>
    <row r="293" spans="1:4" x14ac:dyDescent="0.3">
      <c r="A293" s="207"/>
      <c r="B293" s="208" t="s">
        <v>12</v>
      </c>
      <c r="C293" s="209">
        <f>SUM(C285:C292)</f>
        <v>566</v>
      </c>
      <c r="D293" s="210">
        <f>SUM(D285:D292)</f>
        <v>426.33699999999999</v>
      </c>
    </row>
    <row r="294" spans="1:4" ht="28.2" x14ac:dyDescent="0.3">
      <c r="A294" s="21"/>
      <c r="B294" s="45"/>
      <c r="C294" s="211" t="s">
        <v>13</v>
      </c>
      <c r="D294" s="212">
        <f>+C293-D293</f>
        <v>139.66300000000001</v>
      </c>
    </row>
    <row r="295" spans="1:4" ht="15" thickBot="1" x14ac:dyDescent="0.35">
      <c r="A295" s="23"/>
      <c r="B295" s="4" t="s">
        <v>14</v>
      </c>
      <c r="C295" s="2"/>
      <c r="D295" s="24"/>
    </row>
    <row r="296" spans="1:4" x14ac:dyDescent="0.3">
      <c r="A296" s="213" t="s">
        <v>28</v>
      </c>
      <c r="B296" s="213" t="s">
        <v>93</v>
      </c>
      <c r="C296" s="348" t="s">
        <v>30</v>
      </c>
      <c r="D296" s="349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7"/>
      <c r="B299" s="34"/>
      <c r="C299" s="32"/>
      <c r="D299" s="25"/>
    </row>
    <row r="300" spans="1:4" x14ac:dyDescent="0.3">
      <c r="A300" s="37"/>
      <c r="B300" s="34"/>
      <c r="C300" s="32"/>
      <c r="D300" s="25"/>
    </row>
    <row r="301" spans="1:4" x14ac:dyDescent="0.3">
      <c r="A301" s="37"/>
      <c r="B301" s="34"/>
      <c r="C301" s="32"/>
      <c r="D301" s="25"/>
    </row>
    <row r="302" spans="1:4" x14ac:dyDescent="0.3">
      <c r="A302" s="38" t="s">
        <v>298</v>
      </c>
      <c r="B302" s="35" t="s">
        <v>297</v>
      </c>
      <c r="C302" s="290" t="str">
        <f>'ROL INDIVIDUAL'!B278</f>
        <v>PAPA COQUINCHE JUAN LEVINGSTONE</v>
      </c>
      <c r="D302" s="291"/>
    </row>
    <row r="303" spans="1:4" ht="15" thickBot="1" x14ac:dyDescent="0.35">
      <c r="A303" s="36" t="s">
        <v>246</v>
      </c>
      <c r="B303" s="33" t="s">
        <v>299</v>
      </c>
      <c r="C303" s="353" t="str">
        <f>B279</f>
        <v>1500709041</v>
      </c>
      <c r="D303" s="354"/>
    </row>
    <row r="304" spans="1:4" x14ac:dyDescent="0.3">
      <c r="A304" s="214"/>
      <c r="B304" s="58"/>
      <c r="C304" s="59"/>
      <c r="D304" s="215"/>
    </row>
    <row r="305" spans="1:4" ht="15" thickBot="1" x14ac:dyDescent="0.35">
      <c r="A305" s="214"/>
      <c r="B305" s="58"/>
      <c r="C305" s="59"/>
      <c r="D305" s="215"/>
    </row>
    <row r="306" spans="1:4" x14ac:dyDescent="0.3">
      <c r="A306" s="294"/>
      <c r="B306" s="295"/>
      <c r="C306" s="295"/>
      <c r="D306" s="296"/>
    </row>
    <row r="307" spans="1:4" x14ac:dyDescent="0.3">
      <c r="A307" s="307"/>
      <c r="B307" s="308"/>
      <c r="C307" s="308"/>
      <c r="D307" s="309"/>
    </row>
    <row r="308" spans="1:4" ht="15" thickBot="1" x14ac:dyDescent="0.35">
      <c r="A308" s="307"/>
      <c r="B308" s="308"/>
      <c r="C308" s="308"/>
      <c r="D308" s="309"/>
    </row>
    <row r="309" spans="1:4" ht="25.8" thickBot="1" x14ac:dyDescent="0.35">
      <c r="A309" s="350" t="s">
        <v>0</v>
      </c>
      <c r="B309" s="351"/>
      <c r="C309" s="351"/>
      <c r="D309" s="352"/>
    </row>
    <row r="310" spans="1:4" x14ac:dyDescent="0.3">
      <c r="A310" s="11" t="s">
        <v>1</v>
      </c>
      <c r="B310" s="3" t="str">
        <f>'ROL DE AGOSTO'!D32</f>
        <v>VASQUEZ PUETATE XAVIER IVAN</v>
      </c>
      <c r="C310" s="3"/>
      <c r="D310" s="12"/>
    </row>
    <row r="311" spans="1:4" x14ac:dyDescent="0.3">
      <c r="A311" s="11" t="s">
        <v>2</v>
      </c>
      <c r="B311" s="218" t="str">
        <f>'ROL DE AGOSTO'!C32</f>
        <v>1712044146</v>
      </c>
      <c r="C311" s="4"/>
      <c r="D311" s="13"/>
    </row>
    <row r="312" spans="1:4" x14ac:dyDescent="0.3">
      <c r="A312" s="11" t="s">
        <v>3</v>
      </c>
      <c r="B312" s="3" t="str">
        <f>'ROL DE AGOSTO'!E32</f>
        <v>CONDUCTOR</v>
      </c>
      <c r="C312" s="4"/>
      <c r="D312" s="14"/>
    </row>
    <row r="313" spans="1:4" x14ac:dyDescent="0.3">
      <c r="A313" s="11" t="s">
        <v>26</v>
      </c>
      <c r="B313" s="3" t="str">
        <f>'ROL DE AGOSTO'!A32</f>
        <v>AGOSTO</v>
      </c>
      <c r="C313" s="4"/>
      <c r="D313" s="15"/>
    </row>
    <row r="314" spans="1:4" x14ac:dyDescent="0.3">
      <c r="A314" s="11" t="s">
        <v>99</v>
      </c>
      <c r="B314" s="55">
        <f>'ROL DE AGOSTO'!B32</f>
        <v>2023</v>
      </c>
      <c r="C314" s="4"/>
      <c r="D314" s="15"/>
    </row>
    <row r="315" spans="1:4" x14ac:dyDescent="0.3">
      <c r="A315" s="203" t="s">
        <v>94</v>
      </c>
      <c r="B315" s="204"/>
      <c r="C315" s="205" t="s">
        <v>5</v>
      </c>
      <c r="D315" s="206" t="s">
        <v>6</v>
      </c>
    </row>
    <row r="316" spans="1:4" x14ac:dyDescent="0.3">
      <c r="A316" s="18"/>
      <c r="B316" s="6"/>
      <c r="C316" s="7"/>
      <c r="D316" s="19"/>
    </row>
    <row r="317" spans="1:4" x14ac:dyDescent="0.3">
      <c r="A317" s="26" t="s">
        <v>16</v>
      </c>
      <c r="B317" s="27"/>
      <c r="C317" s="28">
        <f>'ROL DE AGOSTO'!F32</f>
        <v>584</v>
      </c>
      <c r="D317" s="29"/>
    </row>
    <row r="318" spans="1:4" x14ac:dyDescent="0.3">
      <c r="A318" s="26" t="s">
        <v>105</v>
      </c>
      <c r="B318" s="27"/>
      <c r="C318" s="28"/>
      <c r="D318" s="29"/>
    </row>
    <row r="319" spans="1:4" x14ac:dyDescent="0.3">
      <c r="A319" s="26" t="s">
        <v>8</v>
      </c>
      <c r="B319" s="27"/>
      <c r="C319" s="28"/>
      <c r="D319" s="29"/>
    </row>
    <row r="320" spans="1:4" x14ac:dyDescent="0.3">
      <c r="A320" s="26" t="s">
        <v>9</v>
      </c>
      <c r="B320" s="27"/>
      <c r="C320" s="28"/>
      <c r="D320" s="29"/>
    </row>
    <row r="321" spans="1:4" ht="24" x14ac:dyDescent="0.3">
      <c r="A321" s="26"/>
      <c r="B321" s="27" t="s">
        <v>10</v>
      </c>
      <c r="C321" s="28"/>
      <c r="D321" s="29">
        <f>'ROL DE AGOSTO'!L32</f>
        <v>55.187999999999995</v>
      </c>
    </row>
    <row r="322" spans="1:4" ht="24" x14ac:dyDescent="0.3">
      <c r="A322" s="26"/>
      <c r="B322" s="27" t="s">
        <v>307</v>
      </c>
      <c r="C322" s="28"/>
      <c r="D322" s="29">
        <f>'ROL DE AGOSTO'!O32</f>
        <v>70.42</v>
      </c>
    </row>
    <row r="323" spans="1:4" x14ac:dyDescent="0.3">
      <c r="A323" s="26"/>
      <c r="B323" s="27" t="s">
        <v>55</v>
      </c>
      <c r="C323" s="28"/>
      <c r="D323" s="29">
        <f>'ROL DE AGOSTO'!S32</f>
        <v>292</v>
      </c>
    </row>
    <row r="324" spans="1:4" x14ac:dyDescent="0.3">
      <c r="A324" s="26"/>
      <c r="B324" s="27" t="s">
        <v>306</v>
      </c>
      <c r="C324" s="28"/>
      <c r="D324" s="29">
        <f>'ROL DE AGOSTO'!Q32</f>
        <v>66.75</v>
      </c>
    </row>
    <row r="325" spans="1:4" x14ac:dyDescent="0.3">
      <c r="A325" s="207"/>
      <c r="B325" s="208" t="s">
        <v>12</v>
      </c>
      <c r="C325" s="209">
        <f>SUM(C317:C324)</f>
        <v>584</v>
      </c>
      <c r="D325" s="210">
        <f>SUM(D317:D324)</f>
        <v>484.358</v>
      </c>
    </row>
    <row r="326" spans="1:4" ht="28.2" x14ac:dyDescent="0.3">
      <c r="A326" s="21"/>
      <c r="B326" s="45"/>
      <c r="C326" s="211" t="s">
        <v>13</v>
      </c>
      <c r="D326" s="212">
        <f>+C325-D325</f>
        <v>99.641999999999996</v>
      </c>
    </row>
    <row r="327" spans="1:4" ht="15" thickBot="1" x14ac:dyDescent="0.35">
      <c r="A327" s="23"/>
      <c r="B327" s="4" t="s">
        <v>14</v>
      </c>
      <c r="C327" s="2"/>
      <c r="D327" s="24"/>
    </row>
    <row r="328" spans="1:4" x14ac:dyDescent="0.3">
      <c r="A328" s="213" t="s">
        <v>28</v>
      </c>
      <c r="B328" s="213" t="s">
        <v>93</v>
      </c>
      <c r="C328" s="348" t="s">
        <v>30</v>
      </c>
      <c r="D328" s="349"/>
    </row>
    <row r="329" spans="1:4" x14ac:dyDescent="0.3">
      <c r="A329" s="37"/>
      <c r="B329" s="34"/>
      <c r="C329" s="32"/>
      <c r="D329" s="25"/>
    </row>
    <row r="330" spans="1:4" x14ac:dyDescent="0.3">
      <c r="A330" s="37"/>
      <c r="B330" s="34"/>
      <c r="C330" s="32"/>
      <c r="D330" s="25"/>
    </row>
    <row r="331" spans="1:4" x14ac:dyDescent="0.3">
      <c r="A331" s="37"/>
      <c r="B331" s="34"/>
      <c r="C331" s="32"/>
      <c r="D331" s="25"/>
    </row>
    <row r="332" spans="1:4" x14ac:dyDescent="0.3">
      <c r="A332" s="37"/>
      <c r="B332" s="34"/>
      <c r="C332" s="32"/>
      <c r="D332" s="25"/>
    </row>
    <row r="333" spans="1:4" x14ac:dyDescent="0.3">
      <c r="A333" s="37"/>
      <c r="B333" s="34"/>
      <c r="C333" s="32"/>
      <c r="D333" s="25"/>
    </row>
    <row r="334" spans="1:4" x14ac:dyDescent="0.3">
      <c r="A334" s="38" t="s">
        <v>298</v>
      </c>
      <c r="B334" s="35" t="s">
        <v>297</v>
      </c>
      <c r="C334" s="290" t="str">
        <f>B310</f>
        <v>VASQUEZ PUETATE XAVIER IVAN</v>
      </c>
      <c r="D334" s="291"/>
    </row>
    <row r="335" spans="1:4" ht="15" thickBot="1" x14ac:dyDescent="0.35">
      <c r="A335" s="36" t="s">
        <v>246</v>
      </c>
      <c r="B335" s="33" t="s">
        <v>299</v>
      </c>
      <c r="C335" s="353" t="str">
        <f>B311</f>
        <v>1712044146</v>
      </c>
      <c r="D335" s="354"/>
    </row>
    <row r="343" spans="1:4" ht="15" thickBot="1" x14ac:dyDescent="0.35"/>
    <row r="344" spans="1:4" x14ac:dyDescent="0.3">
      <c r="A344" s="294"/>
      <c r="B344" s="295"/>
      <c r="C344" s="295"/>
      <c r="D344" s="296"/>
    </row>
    <row r="345" spans="1:4" x14ac:dyDescent="0.3">
      <c r="A345" s="307"/>
      <c r="B345" s="308"/>
      <c r="C345" s="308"/>
      <c r="D345" s="309"/>
    </row>
    <row r="346" spans="1:4" ht="15" thickBot="1" x14ac:dyDescent="0.35">
      <c r="A346" s="307"/>
      <c r="B346" s="308"/>
      <c r="C346" s="308"/>
      <c r="D346" s="309"/>
    </row>
    <row r="347" spans="1:4" ht="25.8" thickBot="1" x14ac:dyDescent="0.35">
      <c r="A347" s="350" t="s">
        <v>0</v>
      </c>
      <c r="B347" s="351"/>
      <c r="C347" s="351"/>
      <c r="D347" s="352"/>
    </row>
    <row r="348" spans="1:4" x14ac:dyDescent="0.3">
      <c r="A348" s="11" t="s">
        <v>1</v>
      </c>
      <c r="B348" s="3" t="str">
        <f>'ROL DE AGOSTO'!D33</f>
        <v>VELEZ MOREIRA HECTOR ANTONIO</v>
      </c>
      <c r="C348" s="3"/>
      <c r="D348" s="12"/>
    </row>
    <row r="349" spans="1:4" x14ac:dyDescent="0.3">
      <c r="A349" s="11" t="s">
        <v>2</v>
      </c>
      <c r="B349" s="55" t="str">
        <f>'ROL DE AGOSTO'!C33</f>
        <v>1308691953</v>
      </c>
      <c r="C349" s="4"/>
      <c r="D349" s="13"/>
    </row>
    <row r="350" spans="1:4" x14ac:dyDescent="0.3">
      <c r="A350" s="11" t="s">
        <v>3</v>
      </c>
      <c r="B350" s="3" t="str">
        <f>'ROL DE AGOSTO'!E33</f>
        <v>TRABAJADOR AMBIENTAL</v>
      </c>
      <c r="C350" s="4"/>
      <c r="D350" s="14"/>
    </row>
    <row r="351" spans="1:4" x14ac:dyDescent="0.3">
      <c r="A351" s="11" t="s">
        <v>26</v>
      </c>
      <c r="B351" s="3" t="str">
        <f>'ROL DE AGOSTO'!A33</f>
        <v>AGOSTO</v>
      </c>
      <c r="C351" s="4"/>
      <c r="D351" s="15"/>
    </row>
    <row r="352" spans="1:4" x14ac:dyDescent="0.3">
      <c r="A352" s="11" t="s">
        <v>99</v>
      </c>
      <c r="B352" s="55">
        <f>'ROL DE AGOSTO'!B33</f>
        <v>2023</v>
      </c>
      <c r="C352" s="4"/>
      <c r="D352" s="15"/>
    </row>
    <row r="353" spans="1:4" x14ac:dyDescent="0.3">
      <c r="A353" s="203" t="s">
        <v>94</v>
      </c>
      <c r="B353" s="204"/>
      <c r="C353" s="205" t="s">
        <v>5</v>
      </c>
      <c r="D353" s="206" t="s">
        <v>6</v>
      </c>
    </row>
    <row r="354" spans="1:4" x14ac:dyDescent="0.3">
      <c r="A354" s="18"/>
      <c r="B354" s="6"/>
      <c r="C354" s="7"/>
      <c r="D354" s="19"/>
    </row>
    <row r="355" spans="1:4" x14ac:dyDescent="0.3">
      <c r="A355" s="26" t="s">
        <v>16</v>
      </c>
      <c r="B355" s="27"/>
      <c r="C355" s="28">
        <f>'ROL DE AGOSTO'!F33</f>
        <v>527</v>
      </c>
      <c r="D355" s="29"/>
    </row>
    <row r="356" spans="1:4" x14ac:dyDescent="0.3">
      <c r="A356" s="26" t="s">
        <v>105</v>
      </c>
      <c r="B356" s="27"/>
      <c r="C356" s="28"/>
      <c r="D356" s="29"/>
    </row>
    <row r="357" spans="1:4" x14ac:dyDescent="0.3">
      <c r="A357" s="26" t="s">
        <v>8</v>
      </c>
      <c r="B357" s="27"/>
      <c r="C357" s="28"/>
      <c r="D357" s="29"/>
    </row>
    <row r="358" spans="1:4" x14ac:dyDescent="0.3">
      <c r="A358" s="26" t="s">
        <v>9</v>
      </c>
      <c r="B358" s="27"/>
      <c r="C358" s="28"/>
      <c r="D358" s="29"/>
    </row>
    <row r="359" spans="1:4" ht="24" x14ac:dyDescent="0.3">
      <c r="A359" s="26"/>
      <c r="B359" s="27" t="s">
        <v>10</v>
      </c>
      <c r="C359" s="28"/>
      <c r="D359" s="29">
        <f>'ROL DE AGOSTO'!L33</f>
        <v>49.80149999999999</v>
      </c>
    </row>
    <row r="360" spans="1:4" ht="24" x14ac:dyDescent="0.3">
      <c r="A360" s="26"/>
      <c r="B360" s="27" t="s">
        <v>11</v>
      </c>
      <c r="C360" s="28"/>
      <c r="D360" s="29">
        <f>'ROL DE AGOSTO'!O33</f>
        <v>0</v>
      </c>
    </row>
    <row r="361" spans="1:4" x14ac:dyDescent="0.3">
      <c r="A361" s="26"/>
      <c r="B361" s="27" t="s">
        <v>55</v>
      </c>
      <c r="C361" s="28"/>
      <c r="D361" s="29">
        <f>'ROL DE AGOSTO'!S33</f>
        <v>225.85714285714286</v>
      </c>
    </row>
    <row r="362" spans="1:4" ht="24" x14ac:dyDescent="0.3">
      <c r="A362" s="26"/>
      <c r="B362" s="27" t="s">
        <v>18</v>
      </c>
      <c r="C362" s="28"/>
      <c r="D362" s="29">
        <f>'ROL DE AGOSTO'!P33</f>
        <v>0</v>
      </c>
    </row>
    <row r="363" spans="1:4" x14ac:dyDescent="0.3">
      <c r="A363" s="207"/>
      <c r="B363" s="208" t="s">
        <v>12</v>
      </c>
      <c r="C363" s="209">
        <f>SUM(C355:C362)</f>
        <v>527</v>
      </c>
      <c r="D363" s="210">
        <f>SUM(D355:D362)</f>
        <v>275.65864285714287</v>
      </c>
    </row>
    <row r="364" spans="1:4" ht="28.2" x14ac:dyDescent="0.3">
      <c r="A364" s="21"/>
      <c r="B364" s="45"/>
      <c r="C364" s="211" t="s">
        <v>13</v>
      </c>
      <c r="D364" s="212">
        <f>+C363-D363</f>
        <v>251.34135714285713</v>
      </c>
    </row>
    <row r="365" spans="1:4" ht="15" thickBot="1" x14ac:dyDescent="0.35">
      <c r="A365" s="23"/>
      <c r="B365" s="4" t="s">
        <v>14</v>
      </c>
      <c r="C365" s="2"/>
      <c r="D365" s="24"/>
    </row>
    <row r="366" spans="1:4" x14ac:dyDescent="0.3">
      <c r="A366" s="213" t="s">
        <v>28</v>
      </c>
      <c r="B366" s="213" t="s">
        <v>93</v>
      </c>
      <c r="C366" s="348" t="s">
        <v>30</v>
      </c>
      <c r="D366" s="349"/>
    </row>
    <row r="367" spans="1:4" x14ac:dyDescent="0.3">
      <c r="A367" s="37"/>
      <c r="B367" s="34"/>
      <c r="C367" s="32"/>
      <c r="D367" s="25"/>
    </row>
    <row r="368" spans="1:4" x14ac:dyDescent="0.3">
      <c r="A368" s="37"/>
      <c r="B368" s="34"/>
      <c r="C368" s="32"/>
      <c r="D368" s="25"/>
    </row>
    <row r="369" spans="1:4" x14ac:dyDescent="0.3">
      <c r="A369" s="37"/>
      <c r="B369" s="34"/>
      <c r="C369" s="32"/>
      <c r="D369" s="25"/>
    </row>
    <row r="370" spans="1:4" x14ac:dyDescent="0.3">
      <c r="A370" s="37"/>
      <c r="B370" s="34"/>
      <c r="C370" s="32"/>
      <c r="D370" s="25"/>
    </row>
    <row r="371" spans="1:4" x14ac:dyDescent="0.3">
      <c r="A371" s="37"/>
      <c r="B371" s="34"/>
      <c r="C371" s="32"/>
      <c r="D371" s="25"/>
    </row>
    <row r="372" spans="1:4" x14ac:dyDescent="0.3">
      <c r="A372" s="38" t="s">
        <v>298</v>
      </c>
      <c r="B372" s="35" t="s">
        <v>297</v>
      </c>
      <c r="C372" s="290" t="str">
        <f>'ROL INDIVIDUAL'!B348</f>
        <v>VELEZ MOREIRA HECTOR ANTONIO</v>
      </c>
      <c r="D372" s="291"/>
    </row>
    <row r="373" spans="1:4" ht="15" thickBot="1" x14ac:dyDescent="0.35">
      <c r="A373" s="36" t="s">
        <v>246</v>
      </c>
      <c r="B373" s="33" t="s">
        <v>299</v>
      </c>
      <c r="C373" s="353" t="str">
        <f>B349</f>
        <v>1308691953</v>
      </c>
      <c r="D373" s="354"/>
    </row>
    <row r="374" spans="1:4" x14ac:dyDescent="0.3">
      <c r="A374" s="214"/>
      <c r="B374" s="58"/>
      <c r="C374" s="59"/>
      <c r="D374" s="215"/>
    </row>
    <row r="375" spans="1:4" ht="15" thickBot="1" x14ac:dyDescent="0.35">
      <c r="A375" s="214"/>
      <c r="B375" s="58"/>
      <c r="C375" s="59"/>
      <c r="D375" s="215"/>
    </row>
    <row r="376" spans="1:4" x14ac:dyDescent="0.3">
      <c r="A376" s="294"/>
      <c r="B376" s="295"/>
      <c r="C376" s="295"/>
      <c r="D376" s="296"/>
    </row>
    <row r="377" spans="1:4" x14ac:dyDescent="0.3">
      <c r="A377" s="307"/>
      <c r="B377" s="308"/>
      <c r="C377" s="308"/>
      <c r="D377" s="309"/>
    </row>
    <row r="378" spans="1:4" ht="15" thickBot="1" x14ac:dyDescent="0.35">
      <c r="A378" s="307"/>
      <c r="B378" s="308"/>
      <c r="C378" s="308"/>
      <c r="D378" s="309"/>
    </row>
    <row r="379" spans="1:4" ht="25.8" thickBot="1" x14ac:dyDescent="0.35">
      <c r="A379" s="350" t="s">
        <v>0</v>
      </c>
      <c r="B379" s="351"/>
      <c r="C379" s="351"/>
      <c r="D379" s="352"/>
    </row>
    <row r="380" spans="1:4" x14ac:dyDescent="0.3">
      <c r="A380" s="11" t="s">
        <v>1</v>
      </c>
      <c r="B380" s="3" t="str">
        <f>'ROL DE AGOSTO'!D34</f>
        <v>VILLEGAS CARVAJAL JESUS JOSE</v>
      </c>
      <c r="C380" s="3"/>
      <c r="D380" s="12"/>
    </row>
    <row r="381" spans="1:4" x14ac:dyDescent="0.3">
      <c r="A381" s="11" t="s">
        <v>2</v>
      </c>
      <c r="B381" s="218" t="str">
        <f>'ROL DE AGOSTO'!C34</f>
        <v>2200590038</v>
      </c>
      <c r="C381" s="4"/>
      <c r="D381" s="13"/>
    </row>
    <row r="382" spans="1:4" x14ac:dyDescent="0.3">
      <c r="A382" s="11" t="s">
        <v>3</v>
      </c>
      <c r="B382" s="3" t="str">
        <f>'ROL DE AGOSTO'!E34</f>
        <v>GUARDIA</v>
      </c>
      <c r="C382" s="4"/>
      <c r="D382" s="14"/>
    </row>
    <row r="383" spans="1:4" x14ac:dyDescent="0.3">
      <c r="A383" s="11" t="s">
        <v>26</v>
      </c>
      <c r="B383" s="3" t="str">
        <f>'ROL DE AGOSTO'!A34</f>
        <v>AGOSTO</v>
      </c>
      <c r="C383" s="4"/>
      <c r="D383" s="15"/>
    </row>
    <row r="384" spans="1:4" x14ac:dyDescent="0.3">
      <c r="A384" s="11" t="s">
        <v>99</v>
      </c>
      <c r="B384" s="55">
        <f>'ROL DE AGOSTO'!B34</f>
        <v>2023</v>
      </c>
      <c r="C384" s="4"/>
      <c r="D384" s="15"/>
    </row>
    <row r="385" spans="1:4" x14ac:dyDescent="0.3">
      <c r="A385" s="203" t="s">
        <v>94</v>
      </c>
      <c r="B385" s="204"/>
      <c r="C385" s="205" t="s">
        <v>5</v>
      </c>
      <c r="D385" s="206" t="s">
        <v>6</v>
      </c>
    </row>
    <row r="386" spans="1:4" x14ac:dyDescent="0.3">
      <c r="A386" s="18"/>
      <c r="B386" s="6"/>
      <c r="C386" s="7"/>
      <c r="D386" s="19"/>
    </row>
    <row r="387" spans="1:4" x14ac:dyDescent="0.3">
      <c r="A387" s="26" t="s">
        <v>16</v>
      </c>
      <c r="B387" s="27"/>
      <c r="C387" s="28">
        <f>'ROL DE AGOSTO'!F34</f>
        <v>500</v>
      </c>
      <c r="D387" s="29"/>
    </row>
    <row r="388" spans="1:4" x14ac:dyDescent="0.3">
      <c r="A388" s="26" t="s">
        <v>105</v>
      </c>
      <c r="B388" s="27"/>
      <c r="C388" s="28"/>
      <c r="D388" s="29"/>
    </row>
    <row r="389" spans="1:4" x14ac:dyDescent="0.3">
      <c r="A389" s="26" t="s">
        <v>8</v>
      </c>
      <c r="B389" s="27"/>
      <c r="C389" s="28"/>
      <c r="D389" s="29"/>
    </row>
    <row r="390" spans="1:4" x14ac:dyDescent="0.3">
      <c r="A390" s="26" t="s">
        <v>9</v>
      </c>
      <c r="B390" s="27"/>
      <c r="C390" s="28"/>
      <c r="D390" s="29"/>
    </row>
    <row r="391" spans="1:4" ht="24" x14ac:dyDescent="0.3">
      <c r="A391" s="26"/>
      <c r="B391" s="27" t="s">
        <v>10</v>
      </c>
      <c r="C391" s="28"/>
      <c r="D391" s="29">
        <f>'ROL DE AGOSTO'!L34</f>
        <v>47.249999999999993</v>
      </c>
    </row>
    <row r="392" spans="1:4" ht="24" x14ac:dyDescent="0.3">
      <c r="A392" s="26"/>
      <c r="B392" s="27" t="s">
        <v>11</v>
      </c>
      <c r="C392" s="28"/>
      <c r="D392" s="29">
        <f>'ROL DE AGOSTO'!O34</f>
        <v>29.04</v>
      </c>
    </row>
    <row r="393" spans="1:4" x14ac:dyDescent="0.3">
      <c r="A393" s="26"/>
      <c r="B393" s="27" t="s">
        <v>55</v>
      </c>
      <c r="C393" s="28"/>
      <c r="D393" s="29">
        <f>'ROL DE AGOSTO'!S34</f>
        <v>203.9</v>
      </c>
    </row>
    <row r="394" spans="1:4" ht="24" x14ac:dyDescent="0.3">
      <c r="A394" s="26"/>
      <c r="B394" s="27" t="s">
        <v>18</v>
      </c>
      <c r="C394" s="28"/>
      <c r="D394" s="29">
        <f>'ROL DE AGOSTO'!P34</f>
        <v>0</v>
      </c>
    </row>
    <row r="395" spans="1:4" x14ac:dyDescent="0.3">
      <c r="A395" s="207"/>
      <c r="B395" s="208" t="s">
        <v>12</v>
      </c>
      <c r="C395" s="209">
        <f>SUM(C387:C394)</f>
        <v>500</v>
      </c>
      <c r="D395" s="210">
        <f>SUM(D387:D394)</f>
        <v>280.19</v>
      </c>
    </row>
    <row r="396" spans="1:4" ht="28.2" x14ac:dyDescent="0.3">
      <c r="A396" s="21"/>
      <c r="B396" s="45"/>
      <c r="C396" s="211" t="s">
        <v>13</v>
      </c>
      <c r="D396" s="212">
        <f>+C395-D395</f>
        <v>219.81</v>
      </c>
    </row>
    <row r="397" spans="1:4" ht="15" thickBot="1" x14ac:dyDescent="0.35">
      <c r="A397" s="23"/>
      <c r="B397" s="4" t="s">
        <v>14</v>
      </c>
      <c r="C397" s="2"/>
      <c r="D397" s="24"/>
    </row>
    <row r="398" spans="1:4" x14ac:dyDescent="0.3">
      <c r="A398" s="213" t="s">
        <v>28</v>
      </c>
      <c r="B398" s="213" t="s">
        <v>93</v>
      </c>
      <c r="C398" s="348" t="s">
        <v>30</v>
      </c>
      <c r="D398" s="349"/>
    </row>
    <row r="399" spans="1:4" x14ac:dyDescent="0.3">
      <c r="A399" s="37"/>
      <c r="B399" s="34"/>
      <c r="C399" s="32"/>
      <c r="D399" s="25"/>
    </row>
    <row r="400" spans="1:4" x14ac:dyDescent="0.3">
      <c r="A400" s="37"/>
      <c r="B400" s="34"/>
      <c r="C400" s="32"/>
      <c r="D400" s="25"/>
    </row>
    <row r="401" spans="1:4" x14ac:dyDescent="0.3">
      <c r="A401" s="37"/>
      <c r="B401" s="34"/>
      <c r="C401" s="32"/>
      <c r="D401" s="25"/>
    </row>
    <row r="402" spans="1:4" x14ac:dyDescent="0.3">
      <c r="A402" s="37"/>
      <c r="B402" s="34"/>
      <c r="C402" s="32"/>
      <c r="D402" s="25"/>
    </row>
    <row r="403" spans="1:4" x14ac:dyDescent="0.3">
      <c r="A403" s="37"/>
      <c r="B403" s="34"/>
      <c r="C403" s="32"/>
      <c r="D403" s="25"/>
    </row>
    <row r="404" spans="1:4" x14ac:dyDescent="0.3">
      <c r="A404" s="38" t="s">
        <v>298</v>
      </c>
      <c r="B404" s="35" t="s">
        <v>297</v>
      </c>
      <c r="C404" s="290" t="str">
        <f>B380</f>
        <v>VILLEGAS CARVAJAL JESUS JOSE</v>
      </c>
      <c r="D404" s="291"/>
    </row>
    <row r="405" spans="1:4" ht="15" thickBot="1" x14ac:dyDescent="0.35">
      <c r="A405" s="36" t="s">
        <v>246</v>
      </c>
      <c r="B405" s="33" t="s">
        <v>299</v>
      </c>
      <c r="C405" s="353" t="str">
        <f>B381</f>
        <v>2200590038</v>
      </c>
      <c r="D405" s="354"/>
    </row>
    <row r="413" spans="1:4" ht="15" thickBot="1" x14ac:dyDescent="0.35"/>
    <row r="414" spans="1:4" x14ac:dyDescent="0.3">
      <c r="A414" s="294"/>
      <c r="B414" s="295"/>
      <c r="C414" s="295"/>
      <c r="D414" s="296"/>
    </row>
    <row r="415" spans="1:4" x14ac:dyDescent="0.3">
      <c r="A415" s="307"/>
      <c r="B415" s="308"/>
      <c r="C415" s="308"/>
      <c r="D415" s="309"/>
    </row>
    <row r="416" spans="1:4" ht="15" thickBot="1" x14ac:dyDescent="0.35">
      <c r="A416" s="307"/>
      <c r="B416" s="308"/>
      <c r="C416" s="308"/>
      <c r="D416" s="309"/>
    </row>
    <row r="417" spans="1:4" ht="25.8" thickBot="1" x14ac:dyDescent="0.35">
      <c r="A417" s="350" t="s">
        <v>0</v>
      </c>
      <c r="B417" s="351"/>
      <c r="C417" s="351"/>
      <c r="D417" s="352"/>
    </row>
    <row r="418" spans="1:4" x14ac:dyDescent="0.3">
      <c r="A418" s="11" t="s">
        <v>1</v>
      </c>
      <c r="B418" s="3" t="str">
        <f>'ROL DE AGOSTO'!D35</f>
        <v>ZAMORA MACIAS RAMON CRISTOBAL</v>
      </c>
      <c r="C418" s="3"/>
      <c r="D418" s="12"/>
    </row>
    <row r="419" spans="1:4" x14ac:dyDescent="0.3">
      <c r="A419" s="11" t="s">
        <v>2</v>
      </c>
      <c r="B419" s="55" t="str">
        <f>'ROL DE AGOSTO'!C35</f>
        <v>1500660749</v>
      </c>
      <c r="C419" s="4"/>
      <c r="D419" s="13"/>
    </row>
    <row r="420" spans="1:4" x14ac:dyDescent="0.3">
      <c r="A420" s="11" t="s">
        <v>3</v>
      </c>
      <c r="B420" s="3" t="str">
        <f>'ROL DE AGOSTO'!E35</f>
        <v>CONDUCTOR</v>
      </c>
      <c r="C420" s="4"/>
      <c r="D420" s="14"/>
    </row>
    <row r="421" spans="1:4" x14ac:dyDescent="0.3">
      <c r="A421" s="11" t="s">
        <v>26</v>
      </c>
      <c r="B421" s="3" t="str">
        <f>'ROL DE AGOSTO'!A35</f>
        <v>AGOSTO</v>
      </c>
      <c r="C421" s="4"/>
      <c r="D421" s="15"/>
    </row>
    <row r="422" spans="1:4" x14ac:dyDescent="0.3">
      <c r="A422" s="11" t="s">
        <v>99</v>
      </c>
      <c r="B422" s="55">
        <f>'ROL DE AGOSTO'!B35</f>
        <v>2023</v>
      </c>
      <c r="C422" s="4"/>
      <c r="D422" s="15"/>
    </row>
    <row r="423" spans="1:4" x14ac:dyDescent="0.3">
      <c r="A423" s="203" t="s">
        <v>94</v>
      </c>
      <c r="B423" s="204"/>
      <c r="C423" s="205" t="s">
        <v>5</v>
      </c>
      <c r="D423" s="206" t="s">
        <v>6</v>
      </c>
    </row>
    <row r="424" spans="1:4" x14ac:dyDescent="0.3">
      <c r="A424" s="18"/>
      <c r="B424" s="6"/>
      <c r="C424" s="7"/>
      <c r="D424" s="19"/>
    </row>
    <row r="425" spans="1:4" x14ac:dyDescent="0.3">
      <c r="A425" s="26" t="s">
        <v>16</v>
      </c>
      <c r="B425" s="27"/>
      <c r="C425" s="28">
        <f>'ROL DE AGOSTO'!F35</f>
        <v>614</v>
      </c>
      <c r="D425" s="29"/>
    </row>
    <row r="426" spans="1:4" x14ac:dyDescent="0.3">
      <c r="A426" s="26" t="s">
        <v>105</v>
      </c>
      <c r="B426" s="27"/>
      <c r="C426" s="28"/>
      <c r="D426" s="29"/>
    </row>
    <row r="427" spans="1:4" x14ac:dyDescent="0.3">
      <c r="A427" s="26" t="s">
        <v>8</v>
      </c>
      <c r="B427" s="27"/>
      <c r="C427" s="28"/>
      <c r="D427" s="29"/>
    </row>
    <row r="428" spans="1:4" x14ac:dyDescent="0.3">
      <c r="A428" s="26" t="s">
        <v>9</v>
      </c>
      <c r="B428" s="27"/>
      <c r="C428" s="28"/>
      <c r="D428" s="29"/>
    </row>
    <row r="429" spans="1:4" ht="24" x14ac:dyDescent="0.3">
      <c r="A429" s="26"/>
      <c r="B429" s="27" t="s">
        <v>10</v>
      </c>
      <c r="C429" s="28"/>
      <c r="D429" s="29">
        <f>'ROL DE AGOSTO'!L35</f>
        <v>58.022999999999989</v>
      </c>
    </row>
    <row r="430" spans="1:4" ht="24" x14ac:dyDescent="0.3">
      <c r="A430" s="26"/>
      <c r="B430" s="27" t="s">
        <v>11</v>
      </c>
      <c r="C430" s="28"/>
      <c r="D430" s="29">
        <f>'ROL DE AGOSTO'!O35</f>
        <v>0</v>
      </c>
    </row>
    <row r="431" spans="1:4" x14ac:dyDescent="0.3">
      <c r="A431" s="26"/>
      <c r="B431" s="27" t="s">
        <v>55</v>
      </c>
      <c r="C431" s="28"/>
      <c r="D431" s="29">
        <f>'ROL DE AGOSTO'!S35</f>
        <v>169.8</v>
      </c>
    </row>
    <row r="432" spans="1:4" ht="24" x14ac:dyDescent="0.3">
      <c r="A432" s="26"/>
      <c r="B432" s="27" t="s">
        <v>18</v>
      </c>
      <c r="C432" s="28"/>
      <c r="D432" s="29">
        <f>'ROL DE AGOSTO'!P35</f>
        <v>0</v>
      </c>
    </row>
    <row r="433" spans="1:4" x14ac:dyDescent="0.3">
      <c r="A433" s="207"/>
      <c r="B433" s="208" t="s">
        <v>12</v>
      </c>
      <c r="C433" s="209">
        <f>SUM(C425:C432)</f>
        <v>614</v>
      </c>
      <c r="D433" s="210">
        <f>SUM(D425:D432)</f>
        <v>227.82300000000001</v>
      </c>
    </row>
    <row r="434" spans="1:4" ht="28.2" x14ac:dyDescent="0.3">
      <c r="A434" s="21"/>
      <c r="B434" s="45"/>
      <c r="C434" s="211" t="s">
        <v>13</v>
      </c>
      <c r="D434" s="212">
        <f>+C433-D433</f>
        <v>386.17700000000002</v>
      </c>
    </row>
    <row r="435" spans="1:4" ht="15" thickBot="1" x14ac:dyDescent="0.35">
      <c r="A435" s="23"/>
      <c r="B435" s="4" t="s">
        <v>14</v>
      </c>
      <c r="C435" s="2"/>
      <c r="D435" s="24"/>
    </row>
    <row r="436" spans="1:4" x14ac:dyDescent="0.3">
      <c r="A436" s="213" t="s">
        <v>28</v>
      </c>
      <c r="B436" s="213" t="s">
        <v>93</v>
      </c>
      <c r="C436" s="348" t="s">
        <v>30</v>
      </c>
      <c r="D436" s="349"/>
    </row>
    <row r="437" spans="1:4" x14ac:dyDescent="0.3">
      <c r="A437" s="37"/>
      <c r="B437" s="34"/>
      <c r="C437" s="32"/>
      <c r="D437" s="2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8" t="s">
        <v>298</v>
      </c>
      <c r="B442" s="35" t="s">
        <v>297</v>
      </c>
      <c r="C442" s="290" t="str">
        <f>'ROL INDIVIDUAL'!B418</f>
        <v>ZAMORA MACIAS RAMON CRISTOBAL</v>
      </c>
      <c r="D442" s="291"/>
    </row>
    <row r="443" spans="1:4" ht="15" thickBot="1" x14ac:dyDescent="0.35">
      <c r="A443" s="36" t="s">
        <v>246</v>
      </c>
      <c r="B443" s="33" t="s">
        <v>299</v>
      </c>
      <c r="C443" s="353" t="str">
        <f>B419</f>
        <v>1500660749</v>
      </c>
      <c r="D443" s="354"/>
    </row>
    <row r="444" spans="1:4" x14ac:dyDescent="0.3">
      <c r="A444" s="214"/>
      <c r="B444" s="58"/>
      <c r="C444" s="59"/>
      <c r="D444" s="215"/>
    </row>
    <row r="445" spans="1:4" ht="15" thickBot="1" x14ac:dyDescent="0.35">
      <c r="A445" s="214"/>
      <c r="B445" s="58"/>
      <c r="C445" s="59"/>
      <c r="D445" s="215"/>
    </row>
    <row r="446" spans="1:4" x14ac:dyDescent="0.3">
      <c r="A446" s="294"/>
      <c r="B446" s="295"/>
      <c r="C446" s="295"/>
      <c r="D446" s="296"/>
    </row>
    <row r="447" spans="1:4" x14ac:dyDescent="0.3">
      <c r="A447" s="307"/>
      <c r="B447" s="308"/>
      <c r="C447" s="308"/>
      <c r="D447" s="309"/>
    </row>
    <row r="448" spans="1:4" ht="15" thickBot="1" x14ac:dyDescent="0.35">
      <c r="A448" s="307"/>
      <c r="B448" s="308"/>
      <c r="C448" s="308"/>
      <c r="D448" s="309"/>
    </row>
    <row r="449" spans="1:4" ht="25.8" thickBot="1" x14ac:dyDescent="0.35">
      <c r="A449" s="350" t="s">
        <v>0</v>
      </c>
      <c r="B449" s="351"/>
      <c r="C449" s="351"/>
      <c r="D449" s="352"/>
    </row>
    <row r="450" spans="1:4" x14ac:dyDescent="0.3">
      <c r="A450" s="11" t="s">
        <v>1</v>
      </c>
      <c r="B450" s="3" t="str">
        <f>'ROL DE AGOSTO'!D58</f>
        <v>CALAPUCHA SALAZAR DINA MAGALY</v>
      </c>
      <c r="C450" s="3"/>
      <c r="D450" s="12"/>
    </row>
    <row r="451" spans="1:4" x14ac:dyDescent="0.3">
      <c r="A451" s="11" t="s">
        <v>2</v>
      </c>
      <c r="B451" s="218">
        <f>'ROL DE AGOSTO'!C58</f>
        <v>2200446587</v>
      </c>
      <c r="C451" s="4"/>
      <c r="D451" s="13"/>
    </row>
    <row r="452" spans="1:4" x14ac:dyDescent="0.3">
      <c r="A452" s="11" t="s">
        <v>3</v>
      </c>
      <c r="B452" s="3" t="str">
        <f>'ROL DE AGOSTO'!E58</f>
        <v>ASISTENTE_ADMINISTRATIVO</v>
      </c>
      <c r="C452" s="4"/>
      <c r="D452" s="14"/>
    </row>
    <row r="453" spans="1:4" x14ac:dyDescent="0.3">
      <c r="A453" s="11" t="s">
        <v>26</v>
      </c>
      <c r="B453" s="3" t="str">
        <f>'ROL DE AGOSTO'!A60</f>
        <v>AGOSTO</v>
      </c>
      <c r="C453" s="4"/>
      <c r="D453" s="15"/>
    </row>
    <row r="454" spans="1:4" x14ac:dyDescent="0.3">
      <c r="A454" s="11" t="s">
        <v>99</v>
      </c>
      <c r="B454" s="55">
        <f>'ROL DE AGOSTO'!B58</f>
        <v>2023</v>
      </c>
      <c r="C454" s="4"/>
      <c r="D454" s="15"/>
    </row>
    <row r="455" spans="1:4" x14ac:dyDescent="0.3">
      <c r="A455" s="203" t="s">
        <v>94</v>
      </c>
      <c r="B455" s="204"/>
      <c r="C455" s="205" t="s">
        <v>5</v>
      </c>
      <c r="D455" s="206" t="s">
        <v>6</v>
      </c>
    </row>
    <row r="456" spans="1:4" x14ac:dyDescent="0.3">
      <c r="A456" s="18"/>
      <c r="B456" s="6"/>
      <c r="C456" s="7"/>
      <c r="D456" s="19"/>
    </row>
    <row r="457" spans="1:4" x14ac:dyDescent="0.3">
      <c r="A457" s="26" t="s">
        <v>16</v>
      </c>
      <c r="B457" s="27"/>
      <c r="C457" s="28">
        <f>'ROL DE AGOSTO'!H58</f>
        <v>527</v>
      </c>
      <c r="D457" s="29"/>
    </row>
    <row r="458" spans="1:4" x14ac:dyDescent="0.3">
      <c r="A458" s="26" t="s">
        <v>105</v>
      </c>
      <c r="B458" s="27"/>
      <c r="C458" s="28"/>
      <c r="D458" s="29"/>
    </row>
    <row r="459" spans="1:4" x14ac:dyDescent="0.3">
      <c r="A459" s="26" t="s">
        <v>8</v>
      </c>
      <c r="B459" s="27"/>
      <c r="C459" s="28">
        <f>'ROL DE AGOSTO'!I58</f>
        <v>43.916666666666664</v>
      </c>
      <c r="D459" s="29"/>
    </row>
    <row r="460" spans="1:4" x14ac:dyDescent="0.3">
      <c r="A460" s="26" t="s">
        <v>9</v>
      </c>
      <c r="B460" s="27"/>
      <c r="C460" s="28">
        <f>'ROL DE AGOSTO'!J58</f>
        <v>37.5</v>
      </c>
      <c r="D460" s="29"/>
    </row>
    <row r="461" spans="1:4" ht="24" x14ac:dyDescent="0.3">
      <c r="A461" s="26"/>
      <c r="B461" s="27" t="s">
        <v>10</v>
      </c>
      <c r="C461" s="28"/>
      <c r="D461" s="29">
        <f>'ROL DE AGOSTO'!L58</f>
        <v>60.341499999999996</v>
      </c>
    </row>
    <row r="462" spans="1:4" ht="24" x14ac:dyDescent="0.3">
      <c r="A462" s="26"/>
      <c r="B462" s="27" t="s">
        <v>11</v>
      </c>
      <c r="C462" s="28"/>
      <c r="D462" s="29">
        <f>'ROL DE AGOSTO'!O58</f>
        <v>0</v>
      </c>
    </row>
    <row r="463" spans="1:4" x14ac:dyDescent="0.3">
      <c r="A463" s="26"/>
      <c r="B463" s="27" t="s">
        <v>55</v>
      </c>
      <c r="C463" s="28"/>
      <c r="D463" s="29">
        <f>'ROL DE AGOSTO'!S58</f>
        <v>0</v>
      </c>
    </row>
    <row r="464" spans="1:4" ht="24" x14ac:dyDescent="0.3">
      <c r="A464" s="26"/>
      <c r="B464" s="27" t="s">
        <v>18</v>
      </c>
      <c r="C464" s="28"/>
      <c r="D464" s="29">
        <f>'ROL DE AGOSTO'!P58</f>
        <v>0</v>
      </c>
    </row>
    <row r="465" spans="1:4" x14ac:dyDescent="0.3">
      <c r="A465" s="207"/>
      <c r="B465" s="208" t="s">
        <v>12</v>
      </c>
      <c r="C465" s="209">
        <f>SUM(C457:C464)</f>
        <v>608.41666666666663</v>
      </c>
      <c r="D465" s="210">
        <f>SUM(D457:D464)</f>
        <v>60.341499999999996</v>
      </c>
    </row>
    <row r="466" spans="1:4" ht="28.2" x14ac:dyDescent="0.3">
      <c r="A466" s="21"/>
      <c r="B466" s="45"/>
      <c r="C466" s="211" t="s">
        <v>13</v>
      </c>
      <c r="D466" s="212">
        <f>+C465-D465</f>
        <v>548.07516666666663</v>
      </c>
    </row>
    <row r="467" spans="1:4" ht="15" thickBot="1" x14ac:dyDescent="0.35">
      <c r="A467" s="23"/>
      <c r="B467" s="4" t="s">
        <v>14</v>
      </c>
      <c r="C467" s="2"/>
      <c r="D467" s="24"/>
    </row>
    <row r="468" spans="1:4" x14ac:dyDescent="0.3">
      <c r="A468" s="213" t="s">
        <v>28</v>
      </c>
      <c r="B468" s="213" t="s">
        <v>93</v>
      </c>
      <c r="C468" s="348" t="s">
        <v>30</v>
      </c>
      <c r="D468" s="349"/>
    </row>
    <row r="469" spans="1:4" x14ac:dyDescent="0.3">
      <c r="A469" s="37"/>
      <c r="B469" s="34"/>
      <c r="C469" s="32"/>
      <c r="D469" s="25"/>
    </row>
    <row r="470" spans="1:4" x14ac:dyDescent="0.3">
      <c r="A470" s="37"/>
      <c r="B470" s="34"/>
      <c r="C470" s="32"/>
      <c r="D470" s="25"/>
    </row>
    <row r="471" spans="1:4" x14ac:dyDescent="0.3">
      <c r="A471" s="37"/>
      <c r="B471" s="34"/>
      <c r="C471" s="32"/>
      <c r="D471" s="25"/>
    </row>
    <row r="472" spans="1:4" x14ac:dyDescent="0.3">
      <c r="A472" s="37"/>
      <c r="B472" s="34"/>
      <c r="C472" s="32"/>
      <c r="D472" s="25"/>
    </row>
    <row r="473" spans="1:4" x14ac:dyDescent="0.3">
      <c r="A473" s="37"/>
      <c r="B473" s="34"/>
      <c r="C473" s="32"/>
      <c r="D473" s="25"/>
    </row>
    <row r="474" spans="1:4" x14ac:dyDescent="0.3">
      <c r="A474" s="38" t="s">
        <v>298</v>
      </c>
      <c r="B474" s="35" t="s">
        <v>297</v>
      </c>
      <c r="C474" s="290" t="str">
        <f>B450</f>
        <v>CALAPUCHA SALAZAR DINA MAGALY</v>
      </c>
      <c r="D474" s="291"/>
    </row>
    <row r="475" spans="1:4" ht="15" thickBot="1" x14ac:dyDescent="0.35">
      <c r="A475" s="36" t="s">
        <v>246</v>
      </c>
      <c r="B475" s="33" t="s">
        <v>299</v>
      </c>
      <c r="C475" s="353">
        <f>B451</f>
        <v>2200446587</v>
      </c>
      <c r="D475" s="354"/>
    </row>
    <row r="483" spans="1:4" ht="15" thickBot="1" x14ac:dyDescent="0.35"/>
    <row r="484" spans="1:4" x14ac:dyDescent="0.3">
      <c r="A484" s="294"/>
      <c r="B484" s="295"/>
      <c r="C484" s="295"/>
      <c r="D484" s="296"/>
    </row>
    <row r="485" spans="1:4" x14ac:dyDescent="0.3">
      <c r="A485" s="307"/>
      <c r="B485" s="308"/>
      <c r="C485" s="308"/>
      <c r="D485" s="309"/>
    </row>
    <row r="486" spans="1:4" ht="15" thickBot="1" x14ac:dyDescent="0.35">
      <c r="A486" s="307"/>
      <c r="B486" s="308"/>
      <c r="C486" s="308"/>
      <c r="D486" s="309"/>
    </row>
    <row r="487" spans="1:4" ht="25.8" thickBot="1" x14ac:dyDescent="0.35">
      <c r="A487" s="350" t="s">
        <v>0</v>
      </c>
      <c r="B487" s="351"/>
      <c r="C487" s="351"/>
      <c r="D487" s="352"/>
    </row>
    <row r="488" spans="1:4" x14ac:dyDescent="0.3">
      <c r="A488" s="11" t="s">
        <v>1</v>
      </c>
      <c r="B488" s="3" t="str">
        <f>'ROL DE AGOSTO'!D59</f>
        <v>ALARCON NARANJO PEDRO DANIEL</v>
      </c>
      <c r="C488" s="3"/>
      <c r="D488" s="12"/>
    </row>
    <row r="489" spans="1:4" x14ac:dyDescent="0.3">
      <c r="A489" s="11" t="s">
        <v>2</v>
      </c>
      <c r="B489" s="10" t="str">
        <f>'ROL DE AGOSTO'!C59</f>
        <v>0201172517</v>
      </c>
      <c r="C489" s="4"/>
      <c r="D489" s="13"/>
    </row>
    <row r="490" spans="1:4" x14ac:dyDescent="0.3">
      <c r="A490" s="11" t="s">
        <v>3</v>
      </c>
      <c r="B490" s="3" t="str">
        <f>'ROL DE AGOSTO'!E59</f>
        <v>TECNICO DE PLANIFICACION</v>
      </c>
      <c r="C490" s="4"/>
      <c r="D490" s="14"/>
    </row>
    <row r="491" spans="1:4" x14ac:dyDescent="0.3">
      <c r="A491" s="11" t="s">
        <v>26</v>
      </c>
      <c r="B491" s="3" t="str">
        <f>'ROL DE AGOSTO'!A59</f>
        <v>AGOSTO</v>
      </c>
      <c r="C491" s="4"/>
      <c r="D491" s="15"/>
    </row>
    <row r="492" spans="1:4" x14ac:dyDescent="0.3">
      <c r="A492" s="11" t="s">
        <v>99</v>
      </c>
      <c r="B492" s="55">
        <f>'ROL DE AGOSTO'!B59</f>
        <v>2023</v>
      </c>
      <c r="C492" s="4"/>
      <c r="D492" s="15"/>
    </row>
    <row r="493" spans="1:4" x14ac:dyDescent="0.3">
      <c r="A493" s="203" t="s">
        <v>94</v>
      </c>
      <c r="B493" s="204"/>
      <c r="C493" s="205" t="s">
        <v>5</v>
      </c>
      <c r="D493" s="206" t="s">
        <v>6</v>
      </c>
    </row>
    <row r="494" spans="1:4" x14ac:dyDescent="0.3">
      <c r="A494" s="18"/>
      <c r="B494" s="6"/>
      <c r="C494" s="7"/>
      <c r="D494" s="19"/>
    </row>
    <row r="495" spans="1:4" x14ac:dyDescent="0.3">
      <c r="A495" s="26" t="s">
        <v>16</v>
      </c>
      <c r="B495" s="27"/>
      <c r="C495" s="28">
        <f>'ROL DE AGOSTO'!F59</f>
        <v>1212</v>
      </c>
      <c r="D495" s="29"/>
    </row>
    <row r="496" spans="1:4" x14ac:dyDescent="0.3">
      <c r="A496" s="26" t="s">
        <v>105</v>
      </c>
      <c r="B496" s="27"/>
      <c r="C496" s="28"/>
      <c r="D496" s="29"/>
    </row>
    <row r="497" spans="1:4" x14ac:dyDescent="0.3">
      <c r="A497" s="26" t="s">
        <v>8</v>
      </c>
      <c r="B497" s="27"/>
      <c r="C497" s="28">
        <f>'ROL DE AGOSTO'!I59</f>
        <v>101</v>
      </c>
      <c r="D497" s="29"/>
    </row>
    <row r="498" spans="1:4" x14ac:dyDescent="0.3">
      <c r="A498" s="26" t="s">
        <v>9</v>
      </c>
      <c r="B498" s="27"/>
      <c r="C498" s="28">
        <f>'ROL DE AGOSTO'!J59</f>
        <v>37.5</v>
      </c>
      <c r="D498" s="29"/>
    </row>
    <row r="499" spans="1:4" ht="24" x14ac:dyDescent="0.3">
      <c r="A499" s="26"/>
      <c r="B499" s="27" t="s">
        <v>10</v>
      </c>
      <c r="C499" s="28"/>
      <c r="D499" s="29">
        <f>'ROL DE AGOSTO'!L59</f>
        <v>138.774</v>
      </c>
    </row>
    <row r="500" spans="1:4" ht="24" x14ac:dyDescent="0.3">
      <c r="A500" s="26"/>
      <c r="B500" s="27" t="s">
        <v>11</v>
      </c>
      <c r="C500" s="28"/>
      <c r="D500" s="29">
        <f>'ROL DE AGOSTO'!O59</f>
        <v>0</v>
      </c>
    </row>
    <row r="501" spans="1:4" x14ac:dyDescent="0.3">
      <c r="A501" s="26"/>
      <c r="B501" s="27" t="s">
        <v>55</v>
      </c>
      <c r="C501" s="28"/>
      <c r="D501" s="29">
        <f>'ROL DE AGOSTO'!S59</f>
        <v>18.75</v>
      </c>
    </row>
    <row r="502" spans="1:4" ht="24" x14ac:dyDescent="0.3">
      <c r="A502" s="26"/>
      <c r="B502" s="27" t="s">
        <v>18</v>
      </c>
      <c r="C502" s="28"/>
      <c r="D502" s="29">
        <f>'ROL DE AGOSTO'!P59</f>
        <v>127.91</v>
      </c>
    </row>
    <row r="503" spans="1:4" x14ac:dyDescent="0.3">
      <c r="A503" s="207"/>
      <c r="B503" s="208" t="s">
        <v>12</v>
      </c>
      <c r="C503" s="209">
        <f>SUM(C495:C502)</f>
        <v>1350.5</v>
      </c>
      <c r="D503" s="210">
        <f>SUM(D495:D502)</f>
        <v>285.43399999999997</v>
      </c>
    </row>
    <row r="504" spans="1:4" ht="28.2" x14ac:dyDescent="0.3">
      <c r="A504" s="21"/>
      <c r="B504" s="45"/>
      <c r="C504" s="211" t="s">
        <v>13</v>
      </c>
      <c r="D504" s="212">
        <f>+C503-D503</f>
        <v>1065.066</v>
      </c>
    </row>
    <row r="505" spans="1:4" ht="15" thickBot="1" x14ac:dyDescent="0.35">
      <c r="A505" s="23"/>
      <c r="B505" s="4" t="s">
        <v>14</v>
      </c>
      <c r="C505" s="2"/>
      <c r="D505" s="24"/>
    </row>
    <row r="506" spans="1:4" x14ac:dyDescent="0.3">
      <c r="A506" s="213" t="s">
        <v>28</v>
      </c>
      <c r="B506" s="213" t="s">
        <v>93</v>
      </c>
      <c r="C506" s="348" t="s">
        <v>30</v>
      </c>
      <c r="D506" s="349"/>
    </row>
    <row r="507" spans="1:4" x14ac:dyDescent="0.3">
      <c r="A507" s="37"/>
      <c r="B507" s="34"/>
      <c r="C507" s="32"/>
      <c r="D507" s="25"/>
    </row>
    <row r="508" spans="1:4" x14ac:dyDescent="0.3">
      <c r="A508" s="37"/>
      <c r="B508" s="34"/>
      <c r="C508" s="32"/>
      <c r="D508" s="25"/>
    </row>
    <row r="509" spans="1:4" x14ac:dyDescent="0.3">
      <c r="A509" s="37"/>
      <c r="B509" s="34"/>
      <c r="C509" s="32"/>
      <c r="D509" s="25"/>
    </row>
    <row r="510" spans="1:4" x14ac:dyDescent="0.3">
      <c r="A510" s="37"/>
      <c r="B510" s="34"/>
      <c r="C510" s="32"/>
      <c r="D510" s="25"/>
    </row>
    <row r="511" spans="1:4" x14ac:dyDescent="0.3">
      <c r="A511" s="37"/>
      <c r="B511" s="34"/>
      <c r="C511" s="32"/>
      <c r="D511" s="25"/>
    </row>
    <row r="512" spans="1:4" x14ac:dyDescent="0.3">
      <c r="A512" s="38" t="s">
        <v>298</v>
      </c>
      <c r="B512" s="35" t="s">
        <v>297</v>
      </c>
      <c r="C512" s="290" t="str">
        <f>'ROL INDIVIDUAL'!B488</f>
        <v>ALARCON NARANJO PEDRO DANIEL</v>
      </c>
      <c r="D512" s="291"/>
    </row>
    <row r="513" spans="1:4" ht="15" thickBot="1" x14ac:dyDescent="0.35">
      <c r="A513" s="36" t="s">
        <v>246</v>
      </c>
      <c r="B513" s="33" t="s">
        <v>299</v>
      </c>
      <c r="C513" s="353" t="str">
        <f>B489</f>
        <v>0201172517</v>
      </c>
      <c r="D513" s="354"/>
    </row>
    <row r="514" spans="1:4" x14ac:dyDescent="0.3">
      <c r="A514" s="214"/>
      <c r="B514" s="58"/>
      <c r="C514" s="59"/>
      <c r="D514" s="215"/>
    </row>
    <row r="515" spans="1:4" ht="15" thickBot="1" x14ac:dyDescent="0.35">
      <c r="A515" s="214"/>
      <c r="B515" s="58"/>
      <c r="C515" s="59"/>
      <c r="D515" s="215"/>
    </row>
    <row r="516" spans="1:4" x14ac:dyDescent="0.3">
      <c r="A516" s="294"/>
      <c r="B516" s="295"/>
      <c r="C516" s="295"/>
      <c r="D516" s="296"/>
    </row>
    <row r="517" spans="1:4" x14ac:dyDescent="0.3">
      <c r="A517" s="307"/>
      <c r="B517" s="308"/>
      <c r="C517" s="308"/>
      <c r="D517" s="309"/>
    </row>
    <row r="518" spans="1:4" ht="15" thickBot="1" x14ac:dyDescent="0.35">
      <c r="A518" s="307"/>
      <c r="B518" s="308"/>
      <c r="C518" s="308"/>
      <c r="D518" s="309"/>
    </row>
    <row r="519" spans="1:4" ht="25.8" thickBot="1" x14ac:dyDescent="0.35">
      <c r="A519" s="350" t="s">
        <v>0</v>
      </c>
      <c r="B519" s="351"/>
      <c r="C519" s="351"/>
      <c r="D519" s="352"/>
    </row>
    <row r="520" spans="1:4" x14ac:dyDescent="0.3">
      <c r="A520" s="11" t="s">
        <v>1</v>
      </c>
      <c r="B520" s="3" t="str">
        <f>'ROL SEP'!D62</f>
        <v>TAPUYLICUY LUZ MARIA</v>
      </c>
      <c r="C520" s="3"/>
      <c r="D520" s="12"/>
    </row>
    <row r="521" spans="1:4" x14ac:dyDescent="0.3">
      <c r="A521" s="11" t="s">
        <v>2</v>
      </c>
      <c r="B521" s="10" t="str">
        <f>'ROL SEP'!C62</f>
        <v>1500798028</v>
      </c>
      <c r="C521" s="4"/>
      <c r="D521" s="13"/>
    </row>
    <row r="522" spans="1:4" x14ac:dyDescent="0.3">
      <c r="A522" s="11" t="s">
        <v>3</v>
      </c>
      <c r="B522" s="3" t="str">
        <f>'ROL SEP'!E62</f>
        <v>PROMOTOR AGRICOLA</v>
      </c>
      <c r="C522" s="4"/>
      <c r="D522" s="14"/>
    </row>
    <row r="523" spans="1:4" x14ac:dyDescent="0.3">
      <c r="A523" s="11" t="s">
        <v>26</v>
      </c>
      <c r="B523" s="3" t="str">
        <f>'ROL SEP'!A62</f>
        <v>SEPTIEMBRE</v>
      </c>
      <c r="C523" s="4"/>
      <c r="D523" s="15"/>
    </row>
    <row r="524" spans="1:4" x14ac:dyDescent="0.3">
      <c r="A524" s="11" t="s">
        <v>99</v>
      </c>
      <c r="B524" s="55">
        <f>'ROL SEP'!B62</f>
        <v>2023</v>
      </c>
      <c r="C524" s="4"/>
      <c r="D524" s="15"/>
    </row>
    <row r="525" spans="1:4" x14ac:dyDescent="0.3">
      <c r="A525" s="203" t="s">
        <v>94</v>
      </c>
      <c r="B525" s="204"/>
      <c r="C525" s="205" t="s">
        <v>5</v>
      </c>
      <c r="D525" s="206" t="s">
        <v>6</v>
      </c>
    </row>
    <row r="526" spans="1:4" x14ac:dyDescent="0.3">
      <c r="A526" s="18"/>
      <c r="B526" s="6"/>
      <c r="C526" s="7"/>
      <c r="D526" s="19"/>
    </row>
    <row r="527" spans="1:4" x14ac:dyDescent="0.3">
      <c r="A527" s="26" t="s">
        <v>16</v>
      </c>
      <c r="B527" s="27"/>
      <c r="C527" s="28">
        <f>'ROL SEP'!F62</f>
        <v>500</v>
      </c>
      <c r="D527" s="29"/>
    </row>
    <row r="528" spans="1:4" x14ac:dyDescent="0.3">
      <c r="A528" s="26" t="s">
        <v>105</v>
      </c>
      <c r="B528" s="27"/>
      <c r="C528" s="28"/>
      <c r="D528" s="29"/>
    </row>
    <row r="529" spans="1:4" x14ac:dyDescent="0.3">
      <c r="A529" s="26" t="s">
        <v>8</v>
      </c>
      <c r="B529" s="27"/>
      <c r="C529" s="28"/>
      <c r="D529" s="29"/>
    </row>
    <row r="530" spans="1:4" x14ac:dyDescent="0.3">
      <c r="A530" s="26" t="s">
        <v>9</v>
      </c>
      <c r="B530" s="27"/>
      <c r="C530" s="28"/>
      <c r="D530" s="29"/>
    </row>
    <row r="531" spans="1:4" ht="24" x14ac:dyDescent="0.3">
      <c r="A531" s="26"/>
      <c r="B531" s="27" t="s">
        <v>10</v>
      </c>
      <c r="C531" s="28"/>
      <c r="D531" s="29">
        <f>'ROL SEP'!L62</f>
        <v>57.249999999999993</v>
      </c>
    </row>
    <row r="532" spans="1:4" ht="24" x14ac:dyDescent="0.3">
      <c r="A532" s="26"/>
      <c r="B532" s="27" t="s">
        <v>11</v>
      </c>
      <c r="C532" s="28"/>
      <c r="D532" s="29">
        <f>'ROL SEP'!O62</f>
        <v>0</v>
      </c>
    </row>
    <row r="533" spans="1:4" x14ac:dyDescent="0.3">
      <c r="A533" s="26"/>
      <c r="B533" s="27" t="s">
        <v>55</v>
      </c>
      <c r="C533" s="28"/>
      <c r="D533" s="29">
        <f>'ROL SEP'!S62</f>
        <v>0</v>
      </c>
    </row>
    <row r="534" spans="1:4" ht="24" x14ac:dyDescent="0.3">
      <c r="A534" s="26"/>
      <c r="B534" s="27" t="s">
        <v>18</v>
      </c>
      <c r="C534" s="28"/>
      <c r="D534" s="29">
        <f>'ROL SEP'!P62</f>
        <v>0</v>
      </c>
    </row>
    <row r="535" spans="1:4" x14ac:dyDescent="0.3">
      <c r="A535" s="207"/>
      <c r="B535" s="208" t="s">
        <v>12</v>
      </c>
      <c r="C535" s="209">
        <f>SUM(C527:C534)</f>
        <v>500</v>
      </c>
      <c r="D535" s="210">
        <f>SUM(D527:D534)</f>
        <v>57.249999999999993</v>
      </c>
    </row>
    <row r="536" spans="1:4" ht="28.2" x14ac:dyDescent="0.3">
      <c r="A536" s="21"/>
      <c r="B536" s="45"/>
      <c r="C536" s="211" t="s">
        <v>13</v>
      </c>
      <c r="D536" s="212">
        <f>+C535-D535</f>
        <v>442.75</v>
      </c>
    </row>
    <row r="537" spans="1:4" ht="15" thickBot="1" x14ac:dyDescent="0.35">
      <c r="A537" s="23"/>
      <c r="B537" s="4" t="s">
        <v>14</v>
      </c>
      <c r="C537" s="2"/>
      <c r="D537" s="24"/>
    </row>
    <row r="538" spans="1:4" x14ac:dyDescent="0.3">
      <c r="A538" s="213" t="s">
        <v>28</v>
      </c>
      <c r="B538" s="213" t="s">
        <v>93</v>
      </c>
      <c r="C538" s="348" t="s">
        <v>30</v>
      </c>
      <c r="D538" s="349"/>
    </row>
    <row r="539" spans="1:4" x14ac:dyDescent="0.3">
      <c r="A539" s="37"/>
      <c r="B539" s="34"/>
      <c r="C539" s="32"/>
      <c r="D539" s="25"/>
    </row>
    <row r="540" spans="1:4" x14ac:dyDescent="0.3">
      <c r="A540" s="37"/>
      <c r="B540" s="34"/>
      <c r="C540" s="32"/>
      <c r="D540" s="25"/>
    </row>
    <row r="541" spans="1:4" x14ac:dyDescent="0.3">
      <c r="A541" s="37"/>
      <c r="B541" s="34"/>
      <c r="C541" s="32"/>
      <c r="D541" s="25"/>
    </row>
    <row r="542" spans="1:4" x14ac:dyDescent="0.3">
      <c r="A542" s="37"/>
      <c r="B542" s="34"/>
      <c r="C542" s="32"/>
      <c r="D542" s="25"/>
    </row>
    <row r="543" spans="1:4" x14ac:dyDescent="0.3">
      <c r="A543" s="37"/>
      <c r="B543" s="34"/>
      <c r="C543" s="32"/>
      <c r="D543" s="25"/>
    </row>
    <row r="544" spans="1:4" x14ac:dyDescent="0.3">
      <c r="A544" s="38" t="s">
        <v>298</v>
      </c>
      <c r="B544" s="35" t="s">
        <v>297</v>
      </c>
      <c r="C544" s="290" t="str">
        <f>B520</f>
        <v>TAPUYLICUY LUZ MARIA</v>
      </c>
      <c r="D544" s="291"/>
    </row>
    <row r="545" spans="1:4" ht="15" thickBot="1" x14ac:dyDescent="0.35">
      <c r="A545" s="36" t="s">
        <v>246</v>
      </c>
      <c r="B545" s="33" t="s">
        <v>299</v>
      </c>
      <c r="C545" s="353" t="str">
        <f>B521</f>
        <v>1500798028</v>
      </c>
      <c r="D545" s="354"/>
    </row>
    <row r="553" spans="1:4" ht="15" thickBot="1" x14ac:dyDescent="0.35"/>
    <row r="554" spans="1:4" x14ac:dyDescent="0.3">
      <c r="A554" s="294"/>
      <c r="B554" s="295"/>
      <c r="C554" s="295"/>
      <c r="D554" s="296"/>
    </row>
    <row r="555" spans="1:4" x14ac:dyDescent="0.3">
      <c r="A555" s="307"/>
      <c r="B555" s="308"/>
      <c r="C555" s="308"/>
      <c r="D555" s="309"/>
    </row>
    <row r="556" spans="1:4" ht="15" thickBot="1" x14ac:dyDescent="0.35">
      <c r="A556" s="307"/>
      <c r="B556" s="308"/>
      <c r="C556" s="308"/>
      <c r="D556" s="309"/>
    </row>
    <row r="557" spans="1:4" ht="25.8" thickBot="1" x14ac:dyDescent="0.35">
      <c r="A557" s="350" t="s">
        <v>0</v>
      </c>
      <c r="B557" s="351"/>
      <c r="C557" s="351"/>
      <c r="D557" s="352"/>
    </row>
    <row r="558" spans="1:4" x14ac:dyDescent="0.3">
      <c r="A558" s="11" t="s">
        <v>1</v>
      </c>
      <c r="B558" s="3" t="str">
        <f>'ROL SEP'!D36</f>
        <v>GREFA CUJI EDGAR OMAR</v>
      </c>
      <c r="C558" s="3"/>
      <c r="D558" s="12"/>
    </row>
    <row r="559" spans="1:4" x14ac:dyDescent="0.3">
      <c r="A559" s="11" t="s">
        <v>2</v>
      </c>
      <c r="B559" s="10" t="str">
        <f>'ROL SEP'!C36</f>
        <v>2200534663</v>
      </c>
      <c r="C559" s="4"/>
      <c r="D559" s="13"/>
    </row>
    <row r="560" spans="1:4" x14ac:dyDescent="0.3">
      <c r="A560" s="11" t="s">
        <v>3</v>
      </c>
      <c r="B560" s="3" t="str">
        <f>'ROL SEP'!E36</f>
        <v>OPERADOR DE RODILLO</v>
      </c>
      <c r="C560" s="4"/>
      <c r="D560" s="14"/>
    </row>
    <row r="561" spans="1:4" x14ac:dyDescent="0.3">
      <c r="A561" s="11" t="s">
        <v>26</v>
      </c>
      <c r="B561" s="3" t="str">
        <f>'ROL SEP'!A36</f>
        <v>SEPTIEMBRE</v>
      </c>
      <c r="C561" s="4"/>
      <c r="D561" s="15"/>
    </row>
    <row r="562" spans="1:4" x14ac:dyDescent="0.3">
      <c r="A562" s="11" t="s">
        <v>99</v>
      </c>
      <c r="B562" s="55">
        <f>'ROL SEP'!B36</f>
        <v>2023</v>
      </c>
      <c r="C562" s="4"/>
      <c r="D562" s="15"/>
    </row>
    <row r="563" spans="1:4" x14ac:dyDescent="0.3">
      <c r="A563" s="203" t="s">
        <v>94</v>
      </c>
      <c r="B563" s="204"/>
      <c r="C563" s="205" t="s">
        <v>5</v>
      </c>
      <c r="D563" s="206" t="s">
        <v>6</v>
      </c>
    </row>
    <row r="564" spans="1:4" x14ac:dyDescent="0.3">
      <c r="A564" s="18"/>
      <c r="B564" s="6"/>
      <c r="C564" s="7"/>
      <c r="D564" s="19"/>
    </row>
    <row r="565" spans="1:4" x14ac:dyDescent="0.3">
      <c r="A565" s="26" t="s">
        <v>16</v>
      </c>
      <c r="B565" s="27"/>
      <c r="C565" s="28">
        <f>'ROL SEP'!F36</f>
        <v>708</v>
      </c>
      <c r="D565" s="29"/>
    </row>
    <row r="566" spans="1:4" x14ac:dyDescent="0.3">
      <c r="A566" s="26" t="s">
        <v>105</v>
      </c>
      <c r="B566" s="27"/>
      <c r="C566" s="28"/>
      <c r="D566" s="29"/>
    </row>
    <row r="567" spans="1:4" x14ac:dyDescent="0.3">
      <c r="A567" s="26" t="s">
        <v>8</v>
      </c>
      <c r="B567" s="27"/>
      <c r="C567" s="28"/>
      <c r="D567" s="29"/>
    </row>
    <row r="568" spans="1:4" x14ac:dyDescent="0.3">
      <c r="A568" s="26" t="s">
        <v>9</v>
      </c>
      <c r="B568" s="27"/>
      <c r="C568" s="28"/>
      <c r="D568" s="29"/>
    </row>
    <row r="569" spans="1:4" ht="24" x14ac:dyDescent="0.3">
      <c r="A569" s="26"/>
      <c r="B569" s="27" t="s">
        <v>10</v>
      </c>
      <c r="C569" s="28"/>
      <c r="D569" s="29">
        <f>'ROL SEP'!L36</f>
        <v>66.905999999999992</v>
      </c>
    </row>
    <row r="570" spans="1:4" ht="24" x14ac:dyDescent="0.3">
      <c r="A570" s="26"/>
      <c r="B570" s="27" t="s">
        <v>11</v>
      </c>
      <c r="C570" s="28"/>
      <c r="D570" s="29">
        <f>'ROL SEP'!O36</f>
        <v>0</v>
      </c>
    </row>
    <row r="571" spans="1:4" x14ac:dyDescent="0.3">
      <c r="A571" s="26"/>
      <c r="B571" s="27" t="s">
        <v>55</v>
      </c>
      <c r="C571" s="28"/>
      <c r="D571" s="29">
        <f>'ROL SEP'!S36</f>
        <v>0</v>
      </c>
    </row>
    <row r="572" spans="1:4" ht="24" x14ac:dyDescent="0.3">
      <c r="A572" s="26"/>
      <c r="B572" s="27" t="s">
        <v>18</v>
      </c>
      <c r="C572" s="28"/>
      <c r="D572" s="29">
        <f>'ROL SEP'!P36</f>
        <v>0</v>
      </c>
    </row>
    <row r="573" spans="1:4" x14ac:dyDescent="0.3">
      <c r="A573" s="207"/>
      <c r="B573" s="208" t="s">
        <v>12</v>
      </c>
      <c r="C573" s="209">
        <f>SUM(C565:C572)</f>
        <v>708</v>
      </c>
      <c r="D573" s="210">
        <f>SUM(D565:D572)</f>
        <v>66.905999999999992</v>
      </c>
    </row>
    <row r="574" spans="1:4" ht="28.2" x14ac:dyDescent="0.3">
      <c r="A574" s="21"/>
      <c r="B574" s="45"/>
      <c r="C574" s="211" t="s">
        <v>13</v>
      </c>
      <c r="D574" s="212">
        <f>+C573-D573</f>
        <v>641.09400000000005</v>
      </c>
    </row>
    <row r="575" spans="1:4" ht="15" thickBot="1" x14ac:dyDescent="0.35">
      <c r="A575" s="23"/>
      <c r="B575" s="4" t="s">
        <v>14</v>
      </c>
      <c r="C575" s="2"/>
      <c r="D575" s="24"/>
    </row>
    <row r="576" spans="1:4" x14ac:dyDescent="0.3">
      <c r="A576" s="213" t="s">
        <v>28</v>
      </c>
      <c r="B576" s="213" t="s">
        <v>93</v>
      </c>
      <c r="C576" s="348" t="s">
        <v>30</v>
      </c>
      <c r="D576" s="349"/>
    </row>
    <row r="577" spans="1:4" x14ac:dyDescent="0.3">
      <c r="A577" s="37"/>
      <c r="B577" s="34"/>
      <c r="C577" s="32"/>
      <c r="D577" s="25"/>
    </row>
    <row r="578" spans="1:4" x14ac:dyDescent="0.3">
      <c r="A578" s="37"/>
      <c r="B578" s="34"/>
      <c r="C578" s="32"/>
      <c r="D578" s="25"/>
    </row>
    <row r="579" spans="1:4" x14ac:dyDescent="0.3">
      <c r="A579" s="37"/>
      <c r="B579" s="34"/>
      <c r="C579" s="32"/>
      <c r="D579" s="25"/>
    </row>
    <row r="580" spans="1:4" x14ac:dyDescent="0.3">
      <c r="A580" s="37"/>
      <c r="B580" s="34"/>
      <c r="C580" s="32"/>
      <c r="D580" s="25"/>
    </row>
    <row r="581" spans="1:4" x14ac:dyDescent="0.3">
      <c r="A581" s="37"/>
      <c r="B581" s="34"/>
      <c r="C581" s="32"/>
      <c r="D581" s="25"/>
    </row>
    <row r="582" spans="1:4" x14ac:dyDescent="0.3">
      <c r="A582" s="38" t="s">
        <v>298</v>
      </c>
      <c r="B582" s="35" t="s">
        <v>297</v>
      </c>
      <c r="C582" s="290" t="str">
        <f>B558</f>
        <v>GREFA CUJI EDGAR OMAR</v>
      </c>
      <c r="D582" s="291"/>
    </row>
    <row r="583" spans="1:4" ht="15" thickBot="1" x14ac:dyDescent="0.35">
      <c r="A583" s="36" t="s">
        <v>246</v>
      </c>
      <c r="B583" s="33" t="s">
        <v>299</v>
      </c>
      <c r="C583" s="353" t="str">
        <f>B559</f>
        <v>2200534663</v>
      </c>
      <c r="D583" s="354"/>
    </row>
    <row r="584" spans="1:4" x14ac:dyDescent="0.3">
      <c r="A584" s="214"/>
      <c r="B584" s="58"/>
      <c r="C584" s="59"/>
      <c r="D584" s="215"/>
    </row>
    <row r="585" spans="1:4" ht="15" thickBot="1" x14ac:dyDescent="0.35">
      <c r="A585" s="214"/>
      <c r="B585" s="58"/>
      <c r="C585" s="59"/>
      <c r="D585" s="215"/>
    </row>
    <row r="586" spans="1:4" x14ac:dyDescent="0.3">
      <c r="A586" s="294"/>
      <c r="B586" s="295"/>
      <c r="C586" s="295"/>
      <c r="D586" s="296"/>
    </row>
    <row r="587" spans="1:4" x14ac:dyDescent="0.3">
      <c r="A587" s="307"/>
      <c r="B587" s="308"/>
      <c r="C587" s="308"/>
      <c r="D587" s="309"/>
    </row>
    <row r="588" spans="1:4" ht="15" thickBot="1" x14ac:dyDescent="0.35">
      <c r="A588" s="307"/>
      <c r="B588" s="308"/>
      <c r="C588" s="308"/>
      <c r="D588" s="309"/>
    </row>
    <row r="589" spans="1:4" ht="25.8" thickBot="1" x14ac:dyDescent="0.35">
      <c r="A589" s="350" t="s">
        <v>0</v>
      </c>
      <c r="B589" s="351"/>
      <c r="C589" s="351"/>
      <c r="D589" s="352"/>
    </row>
    <row r="590" spans="1:4" x14ac:dyDescent="0.3">
      <c r="A590" s="11" t="s">
        <v>1</v>
      </c>
      <c r="B590" s="3" t="str">
        <f>'ROL SEP'!D37</f>
        <v>VAICILLA SANCHEZ VICTOR ERICK</v>
      </c>
      <c r="C590" s="3"/>
      <c r="D590" s="12"/>
    </row>
    <row r="591" spans="1:4" x14ac:dyDescent="0.3">
      <c r="A591" s="11" t="s">
        <v>2</v>
      </c>
      <c r="B591" s="218">
        <f>'ROL SEP'!C37</f>
        <v>2100854088</v>
      </c>
      <c r="C591" s="4"/>
      <c r="D591" s="13"/>
    </row>
    <row r="592" spans="1:4" x14ac:dyDescent="0.3">
      <c r="A592" s="11" t="s">
        <v>3</v>
      </c>
      <c r="B592" s="3" t="str">
        <f>'ROL SEP'!E37</f>
        <v>CONDUCTOR</v>
      </c>
      <c r="C592" s="4"/>
      <c r="D592" s="14"/>
    </row>
    <row r="593" spans="1:4" x14ac:dyDescent="0.3">
      <c r="A593" s="11" t="s">
        <v>26</v>
      </c>
      <c r="B593" s="3" t="str">
        <f>'ROL SEP'!A37</f>
        <v>SEPTIEMBRE</v>
      </c>
      <c r="C593" s="4"/>
      <c r="D593" s="15"/>
    </row>
    <row r="594" spans="1:4" x14ac:dyDescent="0.3">
      <c r="A594" s="11" t="s">
        <v>99</v>
      </c>
      <c r="B594" s="55">
        <f>'ROL SEP'!B37</f>
        <v>2023</v>
      </c>
      <c r="C594" s="4"/>
      <c r="D594" s="15"/>
    </row>
    <row r="595" spans="1:4" x14ac:dyDescent="0.3">
      <c r="A595" s="203" t="s">
        <v>94</v>
      </c>
      <c r="B595" s="204"/>
      <c r="C595" s="205" t="s">
        <v>5</v>
      </c>
      <c r="D595" s="206" t="s">
        <v>6</v>
      </c>
    </row>
    <row r="596" spans="1:4" x14ac:dyDescent="0.3">
      <c r="A596" s="18"/>
      <c r="B596" s="6"/>
      <c r="C596" s="7"/>
      <c r="D596" s="19"/>
    </row>
    <row r="597" spans="1:4" x14ac:dyDescent="0.3">
      <c r="A597" s="26" t="s">
        <v>16</v>
      </c>
      <c r="B597" s="27"/>
      <c r="C597" s="28">
        <f>'ROL SEP'!F37</f>
        <v>566</v>
      </c>
      <c r="D597" s="29"/>
    </row>
    <row r="598" spans="1:4" x14ac:dyDescent="0.3">
      <c r="A598" s="26" t="s">
        <v>105</v>
      </c>
      <c r="B598" s="27"/>
      <c r="C598" s="28"/>
      <c r="D598" s="29"/>
    </row>
    <row r="599" spans="1:4" x14ac:dyDescent="0.3">
      <c r="A599" s="26" t="s">
        <v>8</v>
      </c>
      <c r="B599" s="27"/>
      <c r="C599" s="28"/>
      <c r="D599" s="29"/>
    </row>
    <row r="600" spans="1:4" x14ac:dyDescent="0.3">
      <c r="A600" s="26" t="s">
        <v>9</v>
      </c>
      <c r="B600" s="27"/>
      <c r="C600" s="28"/>
      <c r="D600" s="29"/>
    </row>
    <row r="601" spans="1:4" ht="24" x14ac:dyDescent="0.3">
      <c r="A601" s="26"/>
      <c r="B601" s="27" t="s">
        <v>10</v>
      </c>
      <c r="C601" s="28"/>
      <c r="D601" s="29">
        <f>'ROL SEP'!L37</f>
        <v>48.138299999999994</v>
      </c>
    </row>
    <row r="602" spans="1:4" ht="24" x14ac:dyDescent="0.3">
      <c r="A602" s="26"/>
      <c r="B602" s="27" t="s">
        <v>11</v>
      </c>
      <c r="C602" s="28"/>
      <c r="D602" s="29">
        <f>'ROL SEP'!O37</f>
        <v>0</v>
      </c>
    </row>
    <row r="603" spans="1:4" x14ac:dyDescent="0.3">
      <c r="A603" s="26"/>
      <c r="B603" s="27" t="s">
        <v>55</v>
      </c>
      <c r="C603" s="28"/>
      <c r="D603" s="29">
        <f>'ROL SEP'!S37</f>
        <v>0</v>
      </c>
    </row>
    <row r="604" spans="1:4" ht="24" x14ac:dyDescent="0.3">
      <c r="A604" s="26"/>
      <c r="B604" s="27" t="s">
        <v>18</v>
      </c>
      <c r="C604" s="28"/>
      <c r="D604" s="29">
        <f>'ROL SEP'!P37</f>
        <v>130</v>
      </c>
    </row>
    <row r="605" spans="1:4" x14ac:dyDescent="0.3">
      <c r="A605" s="207"/>
      <c r="B605" s="208" t="s">
        <v>12</v>
      </c>
      <c r="C605" s="209">
        <f>SUM(C597:C604)</f>
        <v>566</v>
      </c>
      <c r="D605" s="210">
        <f>SUM(D597:D604)</f>
        <v>178.13829999999999</v>
      </c>
    </row>
    <row r="606" spans="1:4" ht="28.2" x14ac:dyDescent="0.3">
      <c r="A606" s="21"/>
      <c r="B606" s="45"/>
      <c r="C606" s="211" t="s">
        <v>13</v>
      </c>
      <c r="D606" s="212">
        <f>+C605-D605</f>
        <v>387.86170000000004</v>
      </c>
    </row>
    <row r="607" spans="1:4" ht="15" thickBot="1" x14ac:dyDescent="0.35">
      <c r="A607" s="23"/>
      <c r="B607" s="4" t="s">
        <v>14</v>
      </c>
      <c r="C607" s="2"/>
      <c r="D607" s="24"/>
    </row>
    <row r="608" spans="1:4" x14ac:dyDescent="0.3">
      <c r="A608" s="213" t="s">
        <v>28</v>
      </c>
      <c r="B608" s="213" t="s">
        <v>93</v>
      </c>
      <c r="C608" s="348" t="s">
        <v>30</v>
      </c>
      <c r="D608" s="349"/>
    </row>
    <row r="609" spans="1:4" x14ac:dyDescent="0.3">
      <c r="A609" s="37"/>
      <c r="B609" s="34"/>
      <c r="C609" s="32"/>
      <c r="D609" s="25"/>
    </row>
    <row r="610" spans="1:4" x14ac:dyDescent="0.3">
      <c r="A610" s="37"/>
      <c r="B610" s="34"/>
      <c r="C610" s="32"/>
      <c r="D610" s="25"/>
    </row>
    <row r="611" spans="1:4" x14ac:dyDescent="0.3">
      <c r="A611" s="37"/>
      <c r="B611" s="34"/>
      <c r="C611" s="32"/>
      <c r="D611" s="25"/>
    </row>
    <row r="612" spans="1:4" x14ac:dyDescent="0.3">
      <c r="A612" s="37"/>
      <c r="B612" s="34"/>
      <c r="C612" s="32"/>
      <c r="D612" s="25"/>
    </row>
    <row r="613" spans="1:4" x14ac:dyDescent="0.3">
      <c r="A613" s="37"/>
      <c r="B613" s="34"/>
      <c r="C613" s="32"/>
      <c r="D613" s="25"/>
    </row>
    <row r="614" spans="1:4" x14ac:dyDescent="0.3">
      <c r="A614" s="38" t="s">
        <v>298</v>
      </c>
      <c r="B614" s="35" t="s">
        <v>297</v>
      </c>
      <c r="C614" s="290" t="str">
        <f>B590</f>
        <v>VAICILLA SANCHEZ VICTOR ERICK</v>
      </c>
      <c r="D614" s="291"/>
    </row>
    <row r="615" spans="1:4" ht="15" thickBot="1" x14ac:dyDescent="0.35">
      <c r="A615" s="36" t="s">
        <v>246</v>
      </c>
      <c r="B615" s="33" t="s">
        <v>299</v>
      </c>
      <c r="C615" s="353">
        <f>B591</f>
        <v>2100854088</v>
      </c>
      <c r="D615" s="354"/>
    </row>
  </sheetData>
  <mergeCells count="90">
    <mergeCell ref="C615:D615"/>
    <mergeCell ref="C544:D544"/>
    <mergeCell ref="C545:D545"/>
    <mergeCell ref="A554:D556"/>
    <mergeCell ref="A557:D557"/>
    <mergeCell ref="C576:D576"/>
    <mergeCell ref="C582:D582"/>
    <mergeCell ref="C583:D583"/>
    <mergeCell ref="A586:D588"/>
    <mergeCell ref="A589:D589"/>
    <mergeCell ref="C608:D608"/>
    <mergeCell ref="C614:D614"/>
    <mergeCell ref="C538:D538"/>
    <mergeCell ref="A449:D449"/>
    <mergeCell ref="C468:D468"/>
    <mergeCell ref="C474:D474"/>
    <mergeCell ref="C475:D475"/>
    <mergeCell ref="A484:D486"/>
    <mergeCell ref="A487:D487"/>
    <mergeCell ref="C506:D506"/>
    <mergeCell ref="C512:D512"/>
    <mergeCell ref="C513:D513"/>
    <mergeCell ref="A516:D518"/>
    <mergeCell ref="A519:D519"/>
    <mergeCell ref="A446:D448"/>
    <mergeCell ref="C373:D373"/>
    <mergeCell ref="A376:D378"/>
    <mergeCell ref="A379:D379"/>
    <mergeCell ref="C398:D398"/>
    <mergeCell ref="C404:D404"/>
    <mergeCell ref="C405:D405"/>
    <mergeCell ref="A414:D416"/>
    <mergeCell ref="A417:D417"/>
    <mergeCell ref="C436:D436"/>
    <mergeCell ref="C442:D442"/>
    <mergeCell ref="C443:D443"/>
    <mergeCell ref="C372:D372"/>
    <mergeCell ref="C296:D296"/>
    <mergeCell ref="C302:D302"/>
    <mergeCell ref="C303:D303"/>
    <mergeCell ref="A306:D308"/>
    <mergeCell ref="A309:D309"/>
    <mergeCell ref="C328:D328"/>
    <mergeCell ref="C334:D334"/>
    <mergeCell ref="C335:D335"/>
    <mergeCell ref="A344:D346"/>
    <mergeCell ref="A347:D347"/>
    <mergeCell ref="C366:D366"/>
    <mergeCell ref="A277:D277"/>
    <mergeCell ref="A204:D206"/>
    <mergeCell ref="A207:D207"/>
    <mergeCell ref="C226:D226"/>
    <mergeCell ref="C232:D232"/>
    <mergeCell ref="C233:D233"/>
    <mergeCell ref="A236:D238"/>
    <mergeCell ref="A239:D239"/>
    <mergeCell ref="C258:D258"/>
    <mergeCell ref="C264:D264"/>
    <mergeCell ref="C265:D265"/>
    <mergeCell ref="A274:D276"/>
    <mergeCell ref="C195:D195"/>
    <mergeCell ref="C129:D129"/>
    <mergeCell ref="C130:D130"/>
    <mergeCell ref="A134:D136"/>
    <mergeCell ref="A137:D137"/>
    <mergeCell ref="C156:D156"/>
    <mergeCell ref="C162:D162"/>
    <mergeCell ref="C163:D163"/>
    <mergeCell ref="A166:D168"/>
    <mergeCell ref="A169:D169"/>
    <mergeCell ref="C188:D188"/>
    <mergeCell ref="C194:D194"/>
    <mergeCell ref="C123:D123"/>
    <mergeCell ref="A36:D36"/>
    <mergeCell ref="C55:D55"/>
    <mergeCell ref="C61:D61"/>
    <mergeCell ref="C62:D62"/>
    <mergeCell ref="A69:D71"/>
    <mergeCell ref="A72:D72"/>
    <mergeCell ref="C91:D91"/>
    <mergeCell ref="C97:D97"/>
    <mergeCell ref="C98:D98"/>
    <mergeCell ref="A101:D103"/>
    <mergeCell ref="A104:D104"/>
    <mergeCell ref="A33:D35"/>
    <mergeCell ref="A1:D3"/>
    <mergeCell ref="A4:D4"/>
    <mergeCell ref="C23:D23"/>
    <mergeCell ref="C29:D29"/>
    <mergeCell ref="C30:D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445"/>
  <sheetViews>
    <sheetView topLeftCell="A404" zoomScale="90" zoomScaleNormal="90" workbookViewId="0">
      <selection activeCell="E428" sqref="E428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7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36</v>
      </c>
      <c r="C9" s="3"/>
      <c r="D9" s="12"/>
    </row>
    <row r="10" spans="1:4" x14ac:dyDescent="0.3">
      <c r="A10" s="11" t="s">
        <v>2</v>
      </c>
      <c r="B10" s="55">
        <v>1500680861</v>
      </c>
      <c r="C10" s="4"/>
      <c r="D10" s="13"/>
    </row>
    <row r="11" spans="1:4" x14ac:dyDescent="0.3">
      <c r="A11" s="11" t="s">
        <v>3</v>
      </c>
      <c r="B11" s="3" t="s">
        <v>37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4" x14ac:dyDescent="0.3">
      <c r="A17" s="26" t="s">
        <v>16</v>
      </c>
      <c r="B17" s="27"/>
      <c r="C17" s="28">
        <v>536</v>
      </c>
      <c r="D17" s="29"/>
    </row>
    <row r="18" spans="1:4" x14ac:dyDescent="0.3">
      <c r="A18" s="26" t="s">
        <v>100</v>
      </c>
      <c r="B18" s="27"/>
      <c r="C18" s="28"/>
      <c r="D18" s="29"/>
    </row>
    <row r="19" spans="1:4" x14ac:dyDescent="0.3">
      <c r="A19" s="26" t="s">
        <v>8</v>
      </c>
      <c r="B19" s="27"/>
      <c r="C19" s="28"/>
      <c r="D19" s="29"/>
    </row>
    <row r="20" spans="1:4" x14ac:dyDescent="0.3">
      <c r="A20" s="26" t="s">
        <v>9</v>
      </c>
      <c r="B20" s="27"/>
      <c r="C20" s="28"/>
      <c r="D20" s="29"/>
    </row>
    <row r="21" spans="1:4" x14ac:dyDescent="0.3">
      <c r="A21" s="26"/>
      <c r="B21" s="27" t="s">
        <v>10</v>
      </c>
      <c r="C21" s="28"/>
      <c r="D21" s="29">
        <f>C17*11.45%</f>
        <v>61.371999999999993</v>
      </c>
    </row>
    <row r="22" spans="1:4" x14ac:dyDescent="0.3">
      <c r="A22" s="26"/>
      <c r="B22" s="27" t="s">
        <v>11</v>
      </c>
      <c r="C22" s="28"/>
      <c r="D22" s="29"/>
    </row>
    <row r="23" spans="1:4" x14ac:dyDescent="0.3">
      <c r="A23" s="26"/>
      <c r="B23" s="27" t="s">
        <v>55</v>
      </c>
      <c r="C23" s="28"/>
      <c r="D23" s="29"/>
    </row>
    <row r="24" spans="1:4" x14ac:dyDescent="0.3">
      <c r="A24" s="26"/>
      <c r="B24" s="27" t="s">
        <v>18</v>
      </c>
      <c r="C24" s="28"/>
      <c r="D24" s="29"/>
    </row>
    <row r="25" spans="1:4" x14ac:dyDescent="0.3">
      <c r="A25" s="26"/>
      <c r="B25" s="27"/>
      <c r="C25" s="28"/>
      <c r="D25" s="29"/>
    </row>
    <row r="26" spans="1:4" x14ac:dyDescent="0.3">
      <c r="A26" s="21"/>
      <c r="B26" s="8"/>
      <c r="C26" s="1"/>
      <c r="D26" s="20"/>
    </row>
    <row r="27" spans="1:4" x14ac:dyDescent="0.3">
      <c r="A27" s="43"/>
      <c r="B27" s="44" t="s">
        <v>12</v>
      </c>
      <c r="C27" s="46">
        <f>SUM(C17:C26)</f>
        <v>536</v>
      </c>
      <c r="D27" s="50">
        <f>SUM(D17:D26)</f>
        <v>61.371999999999993</v>
      </c>
    </row>
    <row r="28" spans="1:4" x14ac:dyDescent="0.3">
      <c r="A28" s="21"/>
      <c r="B28" s="3"/>
      <c r="C28" s="3"/>
      <c r="D28" s="22"/>
    </row>
    <row r="29" spans="1:4" ht="28.2" x14ac:dyDescent="0.3">
      <c r="A29" s="21"/>
      <c r="B29" s="45"/>
      <c r="C29" s="47" t="s">
        <v>13</v>
      </c>
      <c r="D29" s="51">
        <f>+C27-D27</f>
        <v>474.62799999999999</v>
      </c>
    </row>
    <row r="30" spans="1:4" x14ac:dyDescent="0.3">
      <c r="A30" s="21"/>
      <c r="B30" s="3"/>
      <c r="C30" s="3"/>
      <c r="D30" s="22"/>
    </row>
    <row r="31" spans="1:4" x14ac:dyDescent="0.3">
      <c r="A31" s="23"/>
      <c r="B31" s="4" t="s">
        <v>14</v>
      </c>
      <c r="C31" s="2"/>
      <c r="D31" s="24"/>
    </row>
    <row r="32" spans="1:4" ht="15" thickBot="1" x14ac:dyDescent="0.35">
      <c r="A32" s="23"/>
      <c r="B32" s="9"/>
      <c r="C32" s="9"/>
      <c r="D32" s="24"/>
    </row>
    <row r="33" spans="1:4" x14ac:dyDescent="0.3">
      <c r="A33" s="300" t="s">
        <v>28</v>
      </c>
      <c r="B33" s="300" t="s">
        <v>93</v>
      </c>
      <c r="C33" s="302" t="s">
        <v>30</v>
      </c>
      <c r="D33" s="303"/>
    </row>
    <row r="34" spans="1:4" ht="15" thickBot="1" x14ac:dyDescent="0.35">
      <c r="A34" s="301"/>
      <c r="B34" s="301"/>
      <c r="C34" s="304"/>
      <c r="D34" s="305"/>
    </row>
    <row r="35" spans="1:4" x14ac:dyDescent="0.3">
      <c r="A35" s="37"/>
      <c r="B35" s="34"/>
      <c r="C35" s="32"/>
      <c r="D35" s="2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8" t="s">
        <v>20</v>
      </c>
      <c r="B45" s="35" t="s">
        <v>21</v>
      </c>
      <c r="C45" s="290" t="s">
        <v>38</v>
      </c>
      <c r="D45" s="291"/>
    </row>
    <row r="46" spans="1:4" ht="15" thickBot="1" x14ac:dyDescent="0.35">
      <c r="A46" s="36" t="s">
        <v>22</v>
      </c>
      <c r="B46" s="33" t="s">
        <v>23</v>
      </c>
      <c r="C46" s="292" t="s">
        <v>39</v>
      </c>
      <c r="D46" s="293"/>
    </row>
    <row r="49" spans="1:4" ht="15" thickBot="1" x14ac:dyDescent="0.35"/>
    <row r="50" spans="1:4" ht="25.2" x14ac:dyDescent="0.3">
      <c r="A50" s="294"/>
      <c r="B50" s="295"/>
      <c r="C50" s="295"/>
      <c r="D50" s="296"/>
    </row>
    <row r="51" spans="1:4" x14ac:dyDescent="0.3">
      <c r="A51" s="31"/>
      <c r="B51" s="48"/>
      <c r="C51" s="2"/>
      <c r="D51" s="30"/>
    </row>
    <row r="52" spans="1:4" x14ac:dyDescent="0.3">
      <c r="A52" s="31"/>
      <c r="B52" s="49"/>
      <c r="C52" s="2"/>
      <c r="D52" s="30"/>
    </row>
    <row r="53" spans="1:4" x14ac:dyDescent="0.3">
      <c r="A53" s="31"/>
      <c r="B53" s="49"/>
      <c r="C53" s="2"/>
      <c r="D53" s="30"/>
    </row>
    <row r="54" spans="1:4" ht="15" thickBot="1" x14ac:dyDescent="0.35">
      <c r="A54" s="31"/>
      <c r="B54" s="2"/>
      <c r="C54" s="2"/>
      <c r="D54" s="30"/>
    </row>
    <row r="55" spans="1:4" ht="25.8" thickBot="1" x14ac:dyDescent="0.35">
      <c r="A55" s="297" t="s">
        <v>0</v>
      </c>
      <c r="B55" s="298"/>
      <c r="C55" s="298"/>
      <c r="D55" s="299"/>
    </row>
    <row r="56" spans="1:4" ht="25.2" x14ac:dyDescent="0.3">
      <c r="A56" s="52"/>
      <c r="B56" s="53"/>
      <c r="C56" s="53"/>
      <c r="D56" s="54"/>
    </row>
    <row r="57" spans="1:4" x14ac:dyDescent="0.3">
      <c r="A57" s="11" t="s">
        <v>1</v>
      </c>
      <c r="B57" s="3" t="s">
        <v>36</v>
      </c>
      <c r="C57" s="3"/>
      <c r="D57" s="12"/>
    </row>
    <row r="58" spans="1:4" x14ac:dyDescent="0.3">
      <c r="A58" s="11" t="s">
        <v>2</v>
      </c>
      <c r="B58" s="55">
        <v>1500680861</v>
      </c>
      <c r="C58" s="4"/>
      <c r="D58" s="13"/>
    </row>
    <row r="59" spans="1:4" x14ac:dyDescent="0.3">
      <c r="A59" s="11" t="s">
        <v>3</v>
      </c>
      <c r="B59" s="3" t="s">
        <v>37</v>
      </c>
      <c r="C59" s="4"/>
      <c r="D59" s="14"/>
    </row>
    <row r="60" spans="1:4" x14ac:dyDescent="0.3">
      <c r="A60" s="11" t="s">
        <v>26</v>
      </c>
      <c r="B60" s="3" t="s">
        <v>112</v>
      </c>
      <c r="C60" s="4"/>
      <c r="D60" s="15"/>
    </row>
    <row r="61" spans="1:4" x14ac:dyDescent="0.3">
      <c r="A61" s="11" t="s">
        <v>99</v>
      </c>
      <c r="B61" s="55">
        <v>2022</v>
      </c>
      <c r="C61" s="4"/>
      <c r="D61" s="15"/>
    </row>
    <row r="62" spans="1:4" x14ac:dyDescent="0.3">
      <c r="A62" s="16"/>
      <c r="B62" s="5"/>
      <c r="C62" s="5"/>
      <c r="D62" s="17"/>
    </row>
    <row r="63" spans="1:4" x14ac:dyDescent="0.3">
      <c r="A63" s="39" t="s">
        <v>94</v>
      </c>
      <c r="B63" s="40"/>
      <c r="C63" s="41" t="s">
        <v>5</v>
      </c>
      <c r="D63" s="42" t="s">
        <v>6</v>
      </c>
    </row>
    <row r="64" spans="1:4" x14ac:dyDescent="0.3">
      <c r="A64" s="18"/>
      <c r="B64" s="6"/>
      <c r="C64" s="7"/>
      <c r="D64" s="19"/>
    </row>
    <row r="65" spans="1:4" x14ac:dyDescent="0.3">
      <c r="A65" s="26" t="s">
        <v>16</v>
      </c>
      <c r="B65" s="27"/>
      <c r="C65" s="28">
        <v>536</v>
      </c>
      <c r="D65" s="29"/>
    </row>
    <row r="66" spans="1:4" x14ac:dyDescent="0.3">
      <c r="A66" s="26" t="s">
        <v>100</v>
      </c>
      <c r="B66" s="27"/>
      <c r="C66" s="28"/>
      <c r="D66" s="29"/>
    </row>
    <row r="67" spans="1:4" x14ac:dyDescent="0.3">
      <c r="A67" s="26" t="s">
        <v>8</v>
      </c>
      <c r="B67" s="27"/>
      <c r="C67" s="28"/>
      <c r="D67" s="29"/>
    </row>
    <row r="68" spans="1:4" x14ac:dyDescent="0.3">
      <c r="A68" s="26" t="s">
        <v>9</v>
      </c>
      <c r="B68" s="27"/>
      <c r="C68" s="28"/>
      <c r="D68" s="29"/>
    </row>
    <row r="69" spans="1:4" x14ac:dyDescent="0.3">
      <c r="A69" s="26"/>
      <c r="B69" s="27" t="s">
        <v>10</v>
      </c>
      <c r="C69" s="28"/>
      <c r="D69" s="29">
        <f>C65*11.45%</f>
        <v>61.371999999999993</v>
      </c>
    </row>
    <row r="70" spans="1:4" x14ac:dyDescent="0.3">
      <c r="A70" s="26"/>
      <c r="B70" s="27" t="s">
        <v>11</v>
      </c>
      <c r="C70" s="28"/>
      <c r="D70" s="29"/>
    </row>
    <row r="71" spans="1:4" x14ac:dyDescent="0.3">
      <c r="A71" s="26"/>
      <c r="B71" s="27" t="s">
        <v>55</v>
      </c>
      <c r="C71" s="28"/>
      <c r="D71" s="29"/>
    </row>
    <row r="72" spans="1:4" x14ac:dyDescent="0.3">
      <c r="A72" s="26"/>
      <c r="B72" s="27" t="s">
        <v>18</v>
      </c>
      <c r="C72" s="28"/>
      <c r="D72" s="29"/>
    </row>
    <row r="73" spans="1:4" x14ac:dyDescent="0.3">
      <c r="A73" s="26"/>
      <c r="B73" s="27"/>
      <c r="C73" s="28"/>
      <c r="D73" s="29"/>
    </row>
    <row r="74" spans="1:4" x14ac:dyDescent="0.3">
      <c r="A74" s="21"/>
      <c r="B74" s="8"/>
      <c r="C74" s="1"/>
      <c r="D74" s="20"/>
    </row>
    <row r="75" spans="1:4" x14ac:dyDescent="0.3">
      <c r="A75" s="43"/>
      <c r="B75" s="44" t="s">
        <v>12</v>
      </c>
      <c r="C75" s="46">
        <f>SUM(C65:C74)</f>
        <v>536</v>
      </c>
      <c r="D75" s="50">
        <f>SUM(D65:D74)</f>
        <v>61.371999999999993</v>
      </c>
    </row>
    <row r="76" spans="1:4" x14ac:dyDescent="0.3">
      <c r="A76" s="21"/>
      <c r="B76" s="3"/>
      <c r="C76" s="3"/>
      <c r="D76" s="22"/>
    </row>
    <row r="77" spans="1:4" ht="28.2" x14ac:dyDescent="0.3">
      <c r="A77" s="21"/>
      <c r="B77" s="45"/>
      <c r="C77" s="47" t="s">
        <v>13</v>
      </c>
      <c r="D77" s="51">
        <f>+C75-D75</f>
        <v>474.62799999999999</v>
      </c>
    </row>
    <row r="78" spans="1:4" x14ac:dyDescent="0.3">
      <c r="A78" s="21"/>
      <c r="B78" s="3"/>
      <c r="C78" s="3"/>
      <c r="D78" s="22"/>
    </row>
    <row r="79" spans="1:4" x14ac:dyDescent="0.3">
      <c r="A79" s="23"/>
      <c r="B79" s="4" t="s">
        <v>14</v>
      </c>
      <c r="C79" s="2"/>
      <c r="D79" s="24"/>
    </row>
    <row r="80" spans="1:4" ht="15" thickBot="1" x14ac:dyDescent="0.35">
      <c r="A80" s="23"/>
      <c r="B80" s="9"/>
      <c r="C80" s="9"/>
      <c r="D80" s="24"/>
    </row>
    <row r="81" spans="1:4" x14ac:dyDescent="0.3">
      <c r="A81" s="300" t="s">
        <v>28</v>
      </c>
      <c r="B81" s="300" t="s">
        <v>93</v>
      </c>
      <c r="C81" s="302" t="s">
        <v>30</v>
      </c>
      <c r="D81" s="303"/>
    </row>
    <row r="82" spans="1:4" ht="15" thickBot="1" x14ac:dyDescent="0.35">
      <c r="A82" s="301"/>
      <c r="B82" s="301"/>
      <c r="C82" s="304"/>
      <c r="D82" s="305"/>
    </row>
    <row r="83" spans="1:4" x14ac:dyDescent="0.3">
      <c r="A83" s="37"/>
      <c r="B83" s="34"/>
      <c r="C83" s="32"/>
      <c r="D83" s="25"/>
    </row>
    <row r="84" spans="1:4" x14ac:dyDescent="0.3">
      <c r="A84" s="37"/>
      <c r="B84" s="34"/>
      <c r="C84" s="32"/>
      <c r="D84" s="25"/>
    </row>
    <row r="85" spans="1:4" x14ac:dyDescent="0.3">
      <c r="A85" s="37"/>
      <c r="B85" s="34"/>
      <c r="C85" s="32"/>
      <c r="D85" s="25"/>
    </row>
    <row r="86" spans="1:4" x14ac:dyDescent="0.3">
      <c r="A86" s="37"/>
      <c r="B86" s="34"/>
      <c r="C86" s="32"/>
      <c r="D86" s="25"/>
    </row>
    <row r="87" spans="1:4" x14ac:dyDescent="0.3">
      <c r="A87" s="37"/>
      <c r="B87" s="34"/>
      <c r="C87" s="32"/>
      <c r="D87" s="2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8" t="s">
        <v>20</v>
      </c>
      <c r="B93" s="35" t="s">
        <v>21</v>
      </c>
      <c r="C93" s="290" t="s">
        <v>38</v>
      </c>
      <c r="D93" s="291"/>
    </row>
    <row r="94" spans="1:4" ht="15" thickBot="1" x14ac:dyDescent="0.35">
      <c r="A94" s="36" t="s">
        <v>22</v>
      </c>
      <c r="B94" s="33" t="s">
        <v>23</v>
      </c>
      <c r="C94" s="292" t="s">
        <v>39</v>
      </c>
      <c r="D94" s="293"/>
    </row>
    <row r="99" spans="1:4" ht="15" thickBot="1" x14ac:dyDescent="0.35"/>
    <row r="100" spans="1:4" ht="25.2" x14ac:dyDescent="0.3">
      <c r="A100" s="294"/>
      <c r="B100" s="295"/>
      <c r="C100" s="295"/>
      <c r="D100" s="296"/>
    </row>
    <row r="101" spans="1:4" x14ac:dyDescent="0.3">
      <c r="A101" s="31"/>
      <c r="B101" s="48"/>
      <c r="C101" s="2"/>
      <c r="D101" s="30"/>
    </row>
    <row r="102" spans="1:4" x14ac:dyDescent="0.3">
      <c r="A102" s="31"/>
      <c r="B102" s="49"/>
      <c r="C102" s="2"/>
      <c r="D102" s="30"/>
    </row>
    <row r="103" spans="1:4" x14ac:dyDescent="0.3">
      <c r="A103" s="31"/>
      <c r="B103" s="49"/>
      <c r="C103" s="2"/>
      <c r="D103" s="30"/>
    </row>
    <row r="104" spans="1:4" ht="15" thickBot="1" x14ac:dyDescent="0.35">
      <c r="A104" s="31"/>
      <c r="B104" s="2"/>
      <c r="C104" s="2"/>
      <c r="D104" s="30"/>
    </row>
    <row r="105" spans="1:4" ht="25.8" thickBot="1" x14ac:dyDescent="0.35">
      <c r="A105" s="297" t="s">
        <v>0</v>
      </c>
      <c r="B105" s="298"/>
      <c r="C105" s="298"/>
      <c r="D105" s="299"/>
    </row>
    <row r="106" spans="1:4" ht="25.2" x14ac:dyDescent="0.3">
      <c r="A106" s="52"/>
      <c r="B106" s="53"/>
      <c r="C106" s="53"/>
      <c r="D106" s="54"/>
    </row>
    <row r="107" spans="1:4" x14ac:dyDescent="0.3">
      <c r="A107" s="11" t="s">
        <v>1</v>
      </c>
      <c r="B107" s="3" t="s">
        <v>36</v>
      </c>
      <c r="C107" s="3"/>
      <c r="D107" s="12"/>
    </row>
    <row r="108" spans="1:4" x14ac:dyDescent="0.3">
      <c r="A108" s="11" t="s">
        <v>2</v>
      </c>
      <c r="B108" s="55">
        <v>1500680861</v>
      </c>
      <c r="C108" s="4"/>
      <c r="D108" s="13"/>
    </row>
    <row r="109" spans="1:4" x14ac:dyDescent="0.3">
      <c r="A109" s="11" t="s">
        <v>3</v>
      </c>
      <c r="B109" s="3" t="s">
        <v>37</v>
      </c>
      <c r="C109" s="4"/>
      <c r="D109" s="14"/>
    </row>
    <row r="110" spans="1:4" x14ac:dyDescent="0.3">
      <c r="A110" s="11" t="s">
        <v>26</v>
      </c>
      <c r="B110" s="3" t="s">
        <v>113</v>
      </c>
      <c r="C110" s="4"/>
      <c r="D110" s="15"/>
    </row>
    <row r="111" spans="1:4" x14ac:dyDescent="0.3">
      <c r="A111" s="11" t="s">
        <v>99</v>
      </c>
      <c r="B111" s="55">
        <v>2022</v>
      </c>
      <c r="C111" s="4"/>
      <c r="D111" s="15"/>
    </row>
    <row r="112" spans="1:4" x14ac:dyDescent="0.3">
      <c r="A112" s="16"/>
      <c r="B112" s="5"/>
      <c r="C112" s="5"/>
      <c r="D112" s="17"/>
    </row>
    <row r="113" spans="1:4" x14ac:dyDescent="0.3">
      <c r="A113" s="39" t="s">
        <v>94</v>
      </c>
      <c r="B113" s="40"/>
      <c r="C113" s="41" t="s">
        <v>5</v>
      </c>
      <c r="D113" s="42" t="s">
        <v>6</v>
      </c>
    </row>
    <row r="114" spans="1:4" x14ac:dyDescent="0.3">
      <c r="A114" s="18"/>
      <c r="B114" s="6"/>
      <c r="C114" s="7"/>
      <c r="D114" s="19"/>
    </row>
    <row r="115" spans="1:4" x14ac:dyDescent="0.3">
      <c r="A115" s="26" t="s">
        <v>16</v>
      </c>
      <c r="B115" s="27"/>
      <c r="C115" s="28">
        <v>536</v>
      </c>
      <c r="D115" s="29"/>
    </row>
    <row r="116" spans="1:4" x14ac:dyDescent="0.3">
      <c r="A116" s="26" t="s">
        <v>100</v>
      </c>
      <c r="B116" s="27"/>
      <c r="C116" s="28"/>
      <c r="D116" s="29"/>
    </row>
    <row r="117" spans="1:4" x14ac:dyDescent="0.3">
      <c r="A117" s="26" t="s">
        <v>8</v>
      </c>
      <c r="B117" s="27"/>
      <c r="C117" s="28"/>
      <c r="D117" s="29"/>
    </row>
    <row r="118" spans="1:4" x14ac:dyDescent="0.3">
      <c r="A118" s="26" t="s">
        <v>9</v>
      </c>
      <c r="B118" s="27"/>
      <c r="C118" s="28"/>
      <c r="D118" s="29"/>
    </row>
    <row r="119" spans="1:4" x14ac:dyDescent="0.3">
      <c r="A119" s="26"/>
      <c r="B119" s="27" t="s">
        <v>10</v>
      </c>
      <c r="C119" s="28"/>
      <c r="D119" s="29">
        <f>C115*11.45%</f>
        <v>61.371999999999993</v>
      </c>
    </row>
    <row r="120" spans="1:4" x14ac:dyDescent="0.3">
      <c r="A120" s="26"/>
      <c r="B120" s="27" t="s">
        <v>11</v>
      </c>
      <c r="C120" s="28"/>
      <c r="D120" s="29"/>
    </row>
    <row r="121" spans="1:4" x14ac:dyDescent="0.3">
      <c r="A121" s="26"/>
      <c r="B121" s="27" t="s">
        <v>55</v>
      </c>
      <c r="C121" s="28"/>
      <c r="D121" s="29"/>
    </row>
    <row r="122" spans="1:4" x14ac:dyDescent="0.3">
      <c r="A122" s="26"/>
      <c r="B122" s="27" t="s">
        <v>18</v>
      </c>
      <c r="C122" s="28"/>
      <c r="D122" s="29"/>
    </row>
    <row r="123" spans="1:4" x14ac:dyDescent="0.3">
      <c r="A123" s="26"/>
      <c r="B123" s="27"/>
      <c r="C123" s="28"/>
      <c r="D123" s="29"/>
    </row>
    <row r="124" spans="1:4" x14ac:dyDescent="0.3">
      <c r="A124" s="21"/>
      <c r="B124" s="8"/>
      <c r="C124" s="1"/>
      <c r="D124" s="20"/>
    </row>
    <row r="125" spans="1:4" x14ac:dyDescent="0.3">
      <c r="A125" s="43"/>
      <c r="B125" s="44" t="s">
        <v>12</v>
      </c>
      <c r="C125" s="46">
        <f>SUM(C115:C124)</f>
        <v>536</v>
      </c>
      <c r="D125" s="50">
        <f>SUM(D115:D124)</f>
        <v>61.371999999999993</v>
      </c>
    </row>
    <row r="126" spans="1:4" x14ac:dyDescent="0.3">
      <c r="A126" s="21"/>
      <c r="B126" s="3"/>
      <c r="C126" s="3"/>
      <c r="D126" s="22"/>
    </row>
    <row r="127" spans="1:4" ht="28.2" x14ac:dyDescent="0.3">
      <c r="A127" s="21"/>
      <c r="B127" s="45"/>
      <c r="C127" s="47" t="s">
        <v>13</v>
      </c>
      <c r="D127" s="51">
        <f>+C125-D125</f>
        <v>474.62799999999999</v>
      </c>
    </row>
    <row r="128" spans="1:4" x14ac:dyDescent="0.3">
      <c r="A128" s="21"/>
      <c r="B128" s="3"/>
      <c r="C128" s="3"/>
      <c r="D128" s="22"/>
    </row>
    <row r="129" spans="1:4" x14ac:dyDescent="0.3">
      <c r="A129" s="23"/>
      <c r="B129" s="4" t="s">
        <v>14</v>
      </c>
      <c r="C129" s="2"/>
      <c r="D129" s="24"/>
    </row>
    <row r="130" spans="1:4" ht="15" thickBot="1" x14ac:dyDescent="0.35">
      <c r="A130" s="23"/>
      <c r="B130" s="9"/>
      <c r="C130" s="9"/>
      <c r="D130" s="24"/>
    </row>
    <row r="131" spans="1:4" x14ac:dyDescent="0.3">
      <c r="A131" s="300" t="s">
        <v>28</v>
      </c>
      <c r="B131" s="300" t="s">
        <v>93</v>
      </c>
      <c r="C131" s="302" t="s">
        <v>30</v>
      </c>
      <c r="D131" s="303"/>
    </row>
    <row r="132" spans="1:4" ht="15" thickBot="1" x14ac:dyDescent="0.35">
      <c r="A132" s="301"/>
      <c r="B132" s="301"/>
      <c r="C132" s="304"/>
      <c r="D132" s="305"/>
    </row>
    <row r="133" spans="1:4" x14ac:dyDescent="0.3">
      <c r="A133" s="37"/>
      <c r="B133" s="34"/>
      <c r="C133" s="32"/>
      <c r="D133" s="25"/>
    </row>
    <row r="134" spans="1:4" x14ac:dyDescent="0.3">
      <c r="A134" s="37"/>
      <c r="B134" s="34"/>
      <c r="C134" s="32"/>
      <c r="D134" s="25"/>
    </row>
    <row r="135" spans="1:4" x14ac:dyDescent="0.3">
      <c r="A135" s="37"/>
      <c r="B135" s="34"/>
      <c r="C135" s="32"/>
      <c r="D135" s="25"/>
    </row>
    <row r="136" spans="1:4" x14ac:dyDescent="0.3">
      <c r="A136" s="37"/>
      <c r="B136" s="34"/>
      <c r="C136" s="32"/>
      <c r="D136" s="25"/>
    </row>
    <row r="137" spans="1:4" x14ac:dyDescent="0.3">
      <c r="A137" s="37"/>
      <c r="B137" s="34"/>
      <c r="C137" s="32"/>
      <c r="D137" s="25"/>
    </row>
    <row r="138" spans="1:4" x14ac:dyDescent="0.3">
      <c r="A138" s="37"/>
      <c r="B138" s="34"/>
      <c r="C138" s="32"/>
      <c r="D138" s="2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8" t="s">
        <v>20</v>
      </c>
      <c r="B143" s="35" t="s">
        <v>21</v>
      </c>
      <c r="C143" s="290" t="s">
        <v>38</v>
      </c>
      <c r="D143" s="291"/>
    </row>
    <row r="144" spans="1:4" ht="15" thickBot="1" x14ac:dyDescent="0.35">
      <c r="A144" s="36" t="s">
        <v>22</v>
      </c>
      <c r="B144" s="33" t="s">
        <v>23</v>
      </c>
      <c r="C144" s="292" t="s">
        <v>39</v>
      </c>
      <c r="D144" s="293"/>
    </row>
    <row r="149" spans="1:4" ht="15" thickBot="1" x14ac:dyDescent="0.35"/>
    <row r="150" spans="1:4" ht="25.2" x14ac:dyDescent="0.3">
      <c r="A150" s="294"/>
      <c r="B150" s="295"/>
      <c r="C150" s="295"/>
      <c r="D150" s="296"/>
    </row>
    <row r="151" spans="1:4" x14ac:dyDescent="0.3">
      <c r="A151" s="31"/>
      <c r="B151" s="48"/>
      <c r="C151" s="2"/>
      <c r="D151" s="30"/>
    </row>
    <row r="152" spans="1:4" x14ac:dyDescent="0.3">
      <c r="A152" s="31"/>
      <c r="B152" s="49"/>
      <c r="C152" s="2"/>
      <c r="D152" s="30"/>
    </row>
    <row r="153" spans="1:4" x14ac:dyDescent="0.3">
      <c r="A153" s="31"/>
      <c r="B153" s="49"/>
      <c r="C153" s="2"/>
      <c r="D153" s="30"/>
    </row>
    <row r="154" spans="1:4" ht="15" thickBot="1" x14ac:dyDescent="0.35">
      <c r="A154" s="31"/>
      <c r="B154" s="2"/>
      <c r="C154" s="2"/>
      <c r="D154" s="30"/>
    </row>
    <row r="155" spans="1:4" ht="25.8" thickBot="1" x14ac:dyDescent="0.35">
      <c r="A155" s="297" t="s">
        <v>0</v>
      </c>
      <c r="B155" s="298"/>
      <c r="C155" s="298"/>
      <c r="D155" s="299"/>
    </row>
    <row r="156" spans="1:4" ht="25.2" x14ac:dyDescent="0.3">
      <c r="A156" s="52"/>
      <c r="B156" s="53"/>
      <c r="C156" s="53"/>
      <c r="D156" s="54"/>
    </row>
    <row r="157" spans="1:4" x14ac:dyDescent="0.3">
      <c r="A157" s="11" t="s">
        <v>1</v>
      </c>
      <c r="B157" s="3" t="s">
        <v>36</v>
      </c>
      <c r="C157" s="3"/>
      <c r="D157" s="12"/>
    </row>
    <row r="158" spans="1:4" x14ac:dyDescent="0.3">
      <c r="A158" s="11" t="s">
        <v>2</v>
      </c>
      <c r="B158" s="55">
        <v>1500680861</v>
      </c>
      <c r="C158" s="4"/>
      <c r="D158" s="13"/>
    </row>
    <row r="159" spans="1:4" x14ac:dyDescent="0.3">
      <c r="A159" s="11" t="s">
        <v>3</v>
      </c>
      <c r="B159" s="3" t="s">
        <v>37</v>
      </c>
      <c r="C159" s="4"/>
      <c r="D159" s="14"/>
    </row>
    <row r="160" spans="1:4" x14ac:dyDescent="0.3">
      <c r="A160" s="11" t="s">
        <v>26</v>
      </c>
      <c r="B160" s="3" t="s">
        <v>117</v>
      </c>
      <c r="C160" s="4"/>
      <c r="D160" s="15"/>
    </row>
    <row r="161" spans="1:4" x14ac:dyDescent="0.3">
      <c r="A161" s="11" t="s">
        <v>99</v>
      </c>
      <c r="B161" s="55">
        <v>2022</v>
      </c>
      <c r="C161" s="4"/>
      <c r="D161" s="15"/>
    </row>
    <row r="162" spans="1:4" x14ac:dyDescent="0.3">
      <c r="A162" s="16"/>
      <c r="B162" s="5"/>
      <c r="C162" s="5"/>
      <c r="D162" s="17"/>
    </row>
    <row r="163" spans="1:4" x14ac:dyDescent="0.3">
      <c r="A163" s="39" t="s">
        <v>94</v>
      </c>
      <c r="B163" s="40"/>
      <c r="C163" s="41" t="s">
        <v>5</v>
      </c>
      <c r="D163" s="42" t="s">
        <v>6</v>
      </c>
    </row>
    <row r="164" spans="1:4" x14ac:dyDescent="0.3">
      <c r="A164" s="18"/>
      <c r="B164" s="6"/>
      <c r="C164" s="7"/>
      <c r="D164" s="19"/>
    </row>
    <row r="165" spans="1:4" x14ac:dyDescent="0.3">
      <c r="A165" s="26" t="s">
        <v>16</v>
      </c>
      <c r="B165" s="27"/>
      <c r="C165" s="28">
        <v>536</v>
      </c>
      <c r="D165" s="29"/>
    </row>
    <row r="166" spans="1:4" x14ac:dyDescent="0.3">
      <c r="A166" s="26" t="s">
        <v>100</v>
      </c>
      <c r="B166" s="27"/>
      <c r="C166" s="28"/>
      <c r="D166" s="29"/>
    </row>
    <row r="167" spans="1:4" x14ac:dyDescent="0.3">
      <c r="A167" s="26" t="s">
        <v>8</v>
      </c>
      <c r="B167" s="27"/>
      <c r="C167" s="28"/>
      <c r="D167" s="29"/>
    </row>
    <row r="168" spans="1:4" x14ac:dyDescent="0.3">
      <c r="A168" s="26" t="s">
        <v>9</v>
      </c>
      <c r="B168" s="27"/>
      <c r="C168" s="28"/>
      <c r="D168" s="29"/>
    </row>
    <row r="169" spans="1:4" x14ac:dyDescent="0.3">
      <c r="A169" s="26"/>
      <c r="B169" s="27" t="s">
        <v>10</v>
      </c>
      <c r="C169" s="28"/>
      <c r="D169" s="29">
        <f>C165*11.45%</f>
        <v>61.371999999999993</v>
      </c>
    </row>
    <row r="170" spans="1:4" x14ac:dyDescent="0.3">
      <c r="A170" s="26"/>
      <c r="B170" s="27" t="s">
        <v>11</v>
      </c>
      <c r="C170" s="28"/>
      <c r="D170" s="29"/>
    </row>
    <row r="171" spans="1:4" x14ac:dyDescent="0.3">
      <c r="A171" s="26"/>
      <c r="B171" s="27" t="s">
        <v>55</v>
      </c>
      <c r="C171" s="28"/>
      <c r="D171" s="29"/>
    </row>
    <row r="172" spans="1:4" x14ac:dyDescent="0.3">
      <c r="A172" s="26"/>
      <c r="B172" s="27" t="s">
        <v>18</v>
      </c>
      <c r="C172" s="28"/>
      <c r="D172" s="29"/>
    </row>
    <row r="173" spans="1:4" x14ac:dyDescent="0.3">
      <c r="A173" s="26"/>
      <c r="B173" s="27"/>
      <c r="C173" s="28"/>
      <c r="D173" s="29"/>
    </row>
    <row r="174" spans="1:4" x14ac:dyDescent="0.3">
      <c r="A174" s="21"/>
      <c r="B174" s="8"/>
      <c r="C174" s="1"/>
      <c r="D174" s="20"/>
    </row>
    <row r="175" spans="1:4" x14ac:dyDescent="0.3">
      <c r="A175" s="43"/>
      <c r="B175" s="44" t="s">
        <v>12</v>
      </c>
      <c r="C175" s="46">
        <f>SUM(C165:C174)</f>
        <v>536</v>
      </c>
      <c r="D175" s="50">
        <f>SUM(D165:D174)</f>
        <v>61.371999999999993</v>
      </c>
    </row>
    <row r="176" spans="1:4" x14ac:dyDescent="0.3">
      <c r="A176" s="21"/>
      <c r="B176" s="3"/>
      <c r="C176" s="3"/>
      <c r="D176" s="22"/>
    </row>
    <row r="177" spans="1:4" ht="28.2" x14ac:dyDescent="0.3">
      <c r="A177" s="21"/>
      <c r="B177" s="45"/>
      <c r="C177" s="47" t="s">
        <v>13</v>
      </c>
      <c r="D177" s="51">
        <f>+C175-D175</f>
        <v>474.62799999999999</v>
      </c>
    </row>
    <row r="178" spans="1:4" x14ac:dyDescent="0.3">
      <c r="A178" s="21"/>
      <c r="B178" s="3"/>
      <c r="C178" s="3"/>
      <c r="D178" s="22"/>
    </row>
    <row r="179" spans="1:4" x14ac:dyDescent="0.3">
      <c r="A179" s="23"/>
      <c r="B179" s="4" t="s">
        <v>14</v>
      </c>
      <c r="C179" s="2"/>
      <c r="D179" s="24"/>
    </row>
    <row r="180" spans="1:4" ht="15" thickBot="1" x14ac:dyDescent="0.35">
      <c r="A180" s="23"/>
      <c r="B180" s="9"/>
      <c r="C180" s="9"/>
      <c r="D180" s="24"/>
    </row>
    <row r="181" spans="1:4" x14ac:dyDescent="0.3">
      <c r="A181" s="300" t="s">
        <v>28</v>
      </c>
      <c r="B181" s="300" t="s">
        <v>93</v>
      </c>
      <c r="C181" s="302" t="s">
        <v>30</v>
      </c>
      <c r="D181" s="303"/>
    </row>
    <row r="182" spans="1:4" ht="15" thickBot="1" x14ac:dyDescent="0.35">
      <c r="A182" s="301"/>
      <c r="B182" s="301"/>
      <c r="C182" s="304"/>
      <c r="D182" s="305"/>
    </row>
    <row r="183" spans="1:4" x14ac:dyDescent="0.3">
      <c r="A183" s="37"/>
      <c r="B183" s="34"/>
      <c r="C183" s="32"/>
      <c r="D183" s="25"/>
    </row>
    <row r="184" spans="1:4" x14ac:dyDescent="0.3">
      <c r="A184" s="37"/>
      <c r="B184" s="34"/>
      <c r="C184" s="32"/>
      <c r="D184" s="25"/>
    </row>
    <row r="185" spans="1:4" x14ac:dyDescent="0.3">
      <c r="A185" s="37"/>
      <c r="B185" s="34"/>
      <c r="C185" s="32"/>
      <c r="D185" s="25"/>
    </row>
    <row r="186" spans="1:4" x14ac:dyDescent="0.3">
      <c r="A186" s="37"/>
      <c r="B186" s="34"/>
      <c r="C186" s="32"/>
      <c r="D186" s="25"/>
    </row>
    <row r="187" spans="1:4" x14ac:dyDescent="0.3">
      <c r="A187" s="37"/>
      <c r="B187" s="34"/>
      <c r="C187" s="32"/>
      <c r="D187" s="25"/>
    </row>
    <row r="188" spans="1:4" x14ac:dyDescent="0.3">
      <c r="A188" s="37"/>
      <c r="B188" s="34"/>
      <c r="C188" s="32"/>
      <c r="D188" s="2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8" t="s">
        <v>20</v>
      </c>
      <c r="B193" s="35" t="s">
        <v>21</v>
      </c>
      <c r="C193" s="290" t="s">
        <v>38</v>
      </c>
      <c r="D193" s="291"/>
    </row>
    <row r="194" spans="1:4" ht="15" thickBot="1" x14ac:dyDescent="0.35">
      <c r="A194" s="36" t="s">
        <v>22</v>
      </c>
      <c r="B194" s="33" t="s">
        <v>23</v>
      </c>
      <c r="C194" s="292" t="s">
        <v>39</v>
      </c>
      <c r="D194" s="293"/>
    </row>
    <row r="199" spans="1:4" ht="15" thickBot="1" x14ac:dyDescent="0.35"/>
    <row r="200" spans="1:4" ht="25.2" x14ac:dyDescent="0.3">
      <c r="A200" s="294"/>
      <c r="B200" s="295"/>
      <c r="C200" s="295"/>
      <c r="D200" s="296"/>
    </row>
    <row r="201" spans="1:4" x14ac:dyDescent="0.3">
      <c r="A201" s="31"/>
      <c r="B201" s="48"/>
      <c r="C201" s="2"/>
      <c r="D201" s="30"/>
    </row>
    <row r="202" spans="1:4" x14ac:dyDescent="0.3">
      <c r="A202" s="31"/>
      <c r="B202" s="49"/>
      <c r="C202" s="2"/>
      <c r="D202" s="30"/>
    </row>
    <row r="203" spans="1:4" x14ac:dyDescent="0.3">
      <c r="A203" s="31"/>
      <c r="B203" s="49"/>
      <c r="C203" s="2"/>
      <c r="D203" s="30"/>
    </row>
    <row r="204" spans="1:4" ht="15" thickBot="1" x14ac:dyDescent="0.35">
      <c r="A204" s="31"/>
      <c r="B204" s="2"/>
      <c r="C204" s="2"/>
      <c r="D204" s="30"/>
    </row>
    <row r="205" spans="1:4" ht="25.8" thickBot="1" x14ac:dyDescent="0.35">
      <c r="A205" s="297" t="s">
        <v>0</v>
      </c>
      <c r="B205" s="298"/>
      <c r="C205" s="298"/>
      <c r="D205" s="299"/>
    </row>
    <row r="206" spans="1:4" ht="25.2" x14ac:dyDescent="0.3">
      <c r="A206" s="52"/>
      <c r="B206" s="53"/>
      <c r="C206" s="53"/>
      <c r="D206" s="54"/>
    </row>
    <row r="207" spans="1:4" x14ac:dyDescent="0.3">
      <c r="A207" s="11" t="s">
        <v>1</v>
      </c>
      <c r="B207" s="3" t="s">
        <v>36</v>
      </c>
      <c r="C207" s="3"/>
      <c r="D207" s="12"/>
    </row>
    <row r="208" spans="1:4" x14ac:dyDescent="0.3">
      <c r="A208" s="11" t="s">
        <v>2</v>
      </c>
      <c r="B208" s="55">
        <v>1500680861</v>
      </c>
      <c r="C208" s="4"/>
      <c r="D208" s="13"/>
    </row>
    <row r="209" spans="1:4" x14ac:dyDescent="0.3">
      <c r="A209" s="11" t="s">
        <v>3</v>
      </c>
      <c r="B209" s="3" t="s">
        <v>37</v>
      </c>
      <c r="C209" s="4"/>
      <c r="D209" s="14"/>
    </row>
    <row r="210" spans="1:4" x14ac:dyDescent="0.3">
      <c r="A210" s="11" t="s">
        <v>26</v>
      </c>
      <c r="B210" s="3" t="s">
        <v>119</v>
      </c>
      <c r="C210" s="4"/>
      <c r="D210" s="15"/>
    </row>
    <row r="211" spans="1:4" x14ac:dyDescent="0.3">
      <c r="A211" s="11" t="s">
        <v>99</v>
      </c>
      <c r="B211" s="55">
        <v>2022</v>
      </c>
      <c r="C211" s="4"/>
      <c r="D211" s="15"/>
    </row>
    <row r="212" spans="1:4" x14ac:dyDescent="0.3">
      <c r="A212" s="16"/>
      <c r="B212" s="5"/>
      <c r="C212" s="5"/>
      <c r="D212" s="17"/>
    </row>
    <row r="213" spans="1:4" x14ac:dyDescent="0.3">
      <c r="A213" s="39" t="s">
        <v>94</v>
      </c>
      <c r="B213" s="40"/>
      <c r="C213" s="41" t="s">
        <v>5</v>
      </c>
      <c r="D213" s="42" t="s">
        <v>6</v>
      </c>
    </row>
    <row r="214" spans="1:4" x14ac:dyDescent="0.3">
      <c r="A214" s="18"/>
      <c r="B214" s="6"/>
      <c r="C214" s="7"/>
      <c r="D214" s="19"/>
    </row>
    <row r="215" spans="1:4" x14ac:dyDescent="0.3">
      <c r="A215" s="26" t="s">
        <v>16</v>
      </c>
      <c r="B215" s="27"/>
      <c r="C215" s="28">
        <v>536</v>
      </c>
      <c r="D215" s="29"/>
    </row>
    <row r="216" spans="1:4" x14ac:dyDescent="0.3">
      <c r="A216" s="26" t="s">
        <v>100</v>
      </c>
      <c r="B216" s="27"/>
      <c r="C216" s="28"/>
      <c r="D216" s="29"/>
    </row>
    <row r="217" spans="1:4" x14ac:dyDescent="0.3">
      <c r="A217" s="26" t="s">
        <v>8</v>
      </c>
      <c r="B217" s="27"/>
      <c r="C217" s="28"/>
      <c r="D217" s="29"/>
    </row>
    <row r="218" spans="1:4" x14ac:dyDescent="0.3">
      <c r="A218" s="26" t="s">
        <v>9</v>
      </c>
      <c r="B218" s="27"/>
      <c r="C218" s="28"/>
      <c r="D218" s="29"/>
    </row>
    <row r="219" spans="1:4" x14ac:dyDescent="0.3">
      <c r="A219" s="26"/>
      <c r="B219" s="27" t="s">
        <v>10</v>
      </c>
      <c r="C219" s="28"/>
      <c r="D219" s="29">
        <f>C215*11.45%</f>
        <v>61.371999999999993</v>
      </c>
    </row>
    <row r="220" spans="1:4" x14ac:dyDescent="0.3">
      <c r="A220" s="26"/>
      <c r="B220" s="27" t="s">
        <v>11</v>
      </c>
      <c r="C220" s="28"/>
      <c r="D220" s="29"/>
    </row>
    <row r="221" spans="1:4" x14ac:dyDescent="0.3">
      <c r="A221" s="26"/>
      <c r="B221" s="27" t="s">
        <v>55</v>
      </c>
      <c r="C221" s="28"/>
      <c r="D221" s="29"/>
    </row>
    <row r="222" spans="1:4" x14ac:dyDescent="0.3">
      <c r="A222" s="26"/>
      <c r="B222" s="27" t="s">
        <v>18</v>
      </c>
      <c r="C222" s="28"/>
      <c r="D222" s="29"/>
    </row>
    <row r="223" spans="1:4" x14ac:dyDescent="0.3">
      <c r="A223" s="26"/>
      <c r="B223" s="27"/>
      <c r="C223" s="28"/>
      <c r="D223" s="29"/>
    </row>
    <row r="224" spans="1:4" x14ac:dyDescent="0.3">
      <c r="A224" s="21"/>
      <c r="B224" s="8"/>
      <c r="C224" s="1"/>
      <c r="D224" s="20"/>
    </row>
    <row r="225" spans="1:4" x14ac:dyDescent="0.3">
      <c r="A225" s="43"/>
      <c r="B225" s="44" t="s">
        <v>12</v>
      </c>
      <c r="C225" s="46">
        <f>SUM(C215:C224)</f>
        <v>536</v>
      </c>
      <c r="D225" s="50">
        <f>SUM(D215:D224)</f>
        <v>61.371999999999993</v>
      </c>
    </row>
    <row r="226" spans="1:4" x14ac:dyDescent="0.3">
      <c r="A226" s="21"/>
      <c r="B226" s="3"/>
      <c r="C226" s="3"/>
      <c r="D226" s="22"/>
    </row>
    <row r="227" spans="1:4" ht="28.2" x14ac:dyDescent="0.3">
      <c r="A227" s="21"/>
      <c r="B227" s="45"/>
      <c r="C227" s="47" t="s">
        <v>13</v>
      </c>
      <c r="D227" s="51">
        <f>+C225-D225</f>
        <v>474.62799999999999</v>
      </c>
    </row>
    <row r="228" spans="1:4" x14ac:dyDescent="0.3">
      <c r="A228" s="21"/>
      <c r="B228" s="3"/>
      <c r="C228" s="3"/>
      <c r="D228" s="22"/>
    </row>
    <row r="229" spans="1:4" x14ac:dyDescent="0.3">
      <c r="A229" s="23"/>
      <c r="B229" s="4" t="s">
        <v>14</v>
      </c>
      <c r="C229" s="2"/>
      <c r="D229" s="24"/>
    </row>
    <row r="230" spans="1:4" ht="15" thickBot="1" x14ac:dyDescent="0.35">
      <c r="A230" s="23"/>
      <c r="B230" s="9"/>
      <c r="C230" s="9"/>
      <c r="D230" s="24"/>
    </row>
    <row r="231" spans="1:4" x14ac:dyDescent="0.3">
      <c r="A231" s="300" t="s">
        <v>28</v>
      </c>
      <c r="B231" s="300" t="s">
        <v>93</v>
      </c>
      <c r="C231" s="302" t="s">
        <v>30</v>
      </c>
      <c r="D231" s="303"/>
    </row>
    <row r="232" spans="1:4" ht="15" thickBot="1" x14ac:dyDescent="0.35">
      <c r="A232" s="301"/>
      <c r="B232" s="301"/>
      <c r="C232" s="304"/>
      <c r="D232" s="305"/>
    </row>
    <row r="233" spans="1:4" x14ac:dyDescent="0.3">
      <c r="A233" s="37"/>
      <c r="B233" s="34"/>
      <c r="C233" s="32"/>
      <c r="D233" s="25"/>
    </row>
    <row r="234" spans="1:4" x14ac:dyDescent="0.3">
      <c r="A234" s="37"/>
      <c r="B234" s="34"/>
      <c r="C234" s="32"/>
      <c r="D234" s="25"/>
    </row>
    <row r="235" spans="1:4" x14ac:dyDescent="0.3">
      <c r="A235" s="37"/>
      <c r="B235" s="34"/>
      <c r="C235" s="32"/>
      <c r="D235" s="25"/>
    </row>
    <row r="236" spans="1:4" x14ac:dyDescent="0.3">
      <c r="A236" s="37"/>
      <c r="B236" s="34"/>
      <c r="C236" s="32"/>
      <c r="D236" s="25"/>
    </row>
    <row r="237" spans="1:4" x14ac:dyDescent="0.3">
      <c r="A237" s="37"/>
      <c r="B237" s="34"/>
      <c r="C237" s="32"/>
      <c r="D237" s="25"/>
    </row>
    <row r="238" spans="1:4" x14ac:dyDescent="0.3">
      <c r="A238" s="37"/>
      <c r="B238" s="34"/>
      <c r="C238" s="32"/>
      <c r="D238" s="2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8" t="s">
        <v>20</v>
      </c>
      <c r="B243" s="35" t="s">
        <v>21</v>
      </c>
      <c r="C243" s="290" t="s">
        <v>38</v>
      </c>
      <c r="D243" s="291"/>
    </row>
    <row r="244" spans="1:4" ht="15" thickBot="1" x14ac:dyDescent="0.35">
      <c r="A244" s="36" t="s">
        <v>22</v>
      </c>
      <c r="B244" s="33" t="s">
        <v>23</v>
      </c>
      <c r="C244" s="292" t="s">
        <v>39</v>
      </c>
      <c r="D244" s="293"/>
    </row>
    <row r="249" spans="1:4" ht="15" thickBot="1" x14ac:dyDescent="0.35"/>
    <row r="250" spans="1:4" ht="25.2" x14ac:dyDescent="0.3">
      <c r="A250" s="294"/>
      <c r="B250" s="295"/>
      <c r="C250" s="295"/>
      <c r="D250" s="296"/>
    </row>
    <row r="251" spans="1:4" x14ac:dyDescent="0.3">
      <c r="A251" s="31"/>
      <c r="B251" s="48"/>
      <c r="C251" s="2"/>
      <c r="D251" s="30"/>
    </row>
    <row r="252" spans="1:4" x14ac:dyDescent="0.3">
      <c r="A252" s="31"/>
      <c r="B252" s="49"/>
      <c r="C252" s="2"/>
      <c r="D252" s="30"/>
    </row>
    <row r="253" spans="1:4" x14ac:dyDescent="0.3">
      <c r="A253" s="31"/>
      <c r="B253" s="49"/>
      <c r="C253" s="2"/>
      <c r="D253" s="30"/>
    </row>
    <row r="254" spans="1:4" ht="15" thickBot="1" x14ac:dyDescent="0.35">
      <c r="A254" s="31"/>
      <c r="B254" s="2"/>
      <c r="C254" s="2"/>
      <c r="D254" s="30"/>
    </row>
    <row r="255" spans="1:4" ht="25.8" thickBot="1" x14ac:dyDescent="0.35">
      <c r="A255" s="297" t="s">
        <v>0</v>
      </c>
      <c r="B255" s="298"/>
      <c r="C255" s="298"/>
      <c r="D255" s="299"/>
    </row>
    <row r="256" spans="1:4" ht="25.2" x14ac:dyDescent="0.3">
      <c r="A256" s="52"/>
      <c r="B256" s="53"/>
      <c r="C256" s="53"/>
      <c r="D256" s="54"/>
    </row>
    <row r="257" spans="1:4" x14ac:dyDescent="0.3">
      <c r="A257" s="11" t="s">
        <v>1</v>
      </c>
      <c r="B257" s="3" t="s">
        <v>36</v>
      </c>
      <c r="C257" s="3"/>
      <c r="D257" s="12"/>
    </row>
    <row r="258" spans="1:4" x14ac:dyDescent="0.3">
      <c r="A258" s="11" t="s">
        <v>2</v>
      </c>
      <c r="B258" s="55">
        <v>1500680861</v>
      </c>
      <c r="C258" s="4"/>
      <c r="D258" s="13"/>
    </row>
    <row r="259" spans="1:4" x14ac:dyDescent="0.3">
      <c r="A259" s="11" t="s">
        <v>3</v>
      </c>
      <c r="B259" s="3" t="s">
        <v>37</v>
      </c>
      <c r="C259" s="4"/>
      <c r="D259" s="14"/>
    </row>
    <row r="260" spans="1:4" x14ac:dyDescent="0.3">
      <c r="A260" s="11" t="s">
        <v>26</v>
      </c>
      <c r="B260" s="3" t="s">
        <v>120</v>
      </c>
      <c r="C260" s="4"/>
      <c r="D260" s="15"/>
    </row>
    <row r="261" spans="1:4" x14ac:dyDescent="0.3">
      <c r="A261" s="11" t="s">
        <v>99</v>
      </c>
      <c r="B261" s="55">
        <v>2022</v>
      </c>
      <c r="C261" s="4"/>
      <c r="D261" s="15"/>
    </row>
    <row r="262" spans="1:4" x14ac:dyDescent="0.3">
      <c r="A262" s="16"/>
      <c r="B262" s="5"/>
      <c r="C262" s="5"/>
      <c r="D262" s="17"/>
    </row>
    <row r="263" spans="1:4" x14ac:dyDescent="0.3">
      <c r="A263" s="39" t="s">
        <v>94</v>
      </c>
      <c r="B263" s="40"/>
      <c r="C263" s="41" t="s">
        <v>5</v>
      </c>
      <c r="D263" s="42" t="s">
        <v>6</v>
      </c>
    </row>
    <row r="264" spans="1:4" x14ac:dyDescent="0.3">
      <c r="A264" s="18"/>
      <c r="B264" s="6"/>
      <c r="C264" s="7"/>
      <c r="D264" s="19"/>
    </row>
    <row r="265" spans="1:4" x14ac:dyDescent="0.3">
      <c r="A265" s="26" t="s">
        <v>16</v>
      </c>
      <c r="B265" s="27"/>
      <c r="C265" s="28">
        <v>536</v>
      </c>
      <c r="D265" s="29"/>
    </row>
    <row r="266" spans="1:4" x14ac:dyDescent="0.3">
      <c r="A266" s="26" t="s">
        <v>100</v>
      </c>
      <c r="B266" s="27"/>
      <c r="C266" s="28"/>
      <c r="D266" s="29"/>
    </row>
    <row r="267" spans="1:4" x14ac:dyDescent="0.3">
      <c r="A267" s="26" t="s">
        <v>8</v>
      </c>
      <c r="B267" s="27"/>
      <c r="C267" s="28"/>
      <c r="D267" s="29"/>
    </row>
    <row r="268" spans="1:4" x14ac:dyDescent="0.3">
      <c r="A268" s="26" t="s">
        <v>9</v>
      </c>
      <c r="B268" s="27"/>
      <c r="C268" s="28"/>
      <c r="D268" s="29"/>
    </row>
    <row r="269" spans="1:4" x14ac:dyDescent="0.3">
      <c r="A269" s="26"/>
      <c r="B269" s="27" t="s">
        <v>10</v>
      </c>
      <c r="C269" s="28"/>
      <c r="D269" s="29">
        <f>C265*11.45%</f>
        <v>61.371999999999993</v>
      </c>
    </row>
    <row r="270" spans="1:4" x14ac:dyDescent="0.3">
      <c r="A270" s="26"/>
      <c r="B270" s="27" t="s">
        <v>11</v>
      </c>
      <c r="C270" s="28"/>
      <c r="D270" s="29"/>
    </row>
    <row r="271" spans="1:4" x14ac:dyDescent="0.3">
      <c r="A271" s="26"/>
      <c r="B271" s="27" t="s">
        <v>55</v>
      </c>
      <c r="C271" s="28"/>
      <c r="D271" s="29"/>
    </row>
    <row r="272" spans="1:4" x14ac:dyDescent="0.3">
      <c r="A272" s="26"/>
      <c r="B272" s="27" t="s">
        <v>18</v>
      </c>
      <c r="C272" s="28"/>
      <c r="D272" s="29"/>
    </row>
    <row r="273" spans="1:4" x14ac:dyDescent="0.3">
      <c r="A273" s="26"/>
      <c r="B273" s="27"/>
      <c r="C273" s="28"/>
      <c r="D273" s="29"/>
    </row>
    <row r="274" spans="1:4" x14ac:dyDescent="0.3">
      <c r="A274" s="21"/>
      <c r="B274" s="8"/>
      <c r="C274" s="1"/>
      <c r="D274" s="20"/>
    </row>
    <row r="275" spans="1:4" x14ac:dyDescent="0.3">
      <c r="A275" s="43"/>
      <c r="B275" s="44" t="s">
        <v>12</v>
      </c>
      <c r="C275" s="46">
        <f>SUM(C265:C274)</f>
        <v>536</v>
      </c>
      <c r="D275" s="50">
        <f>SUM(D265:D274)</f>
        <v>61.371999999999993</v>
      </c>
    </row>
    <row r="276" spans="1:4" x14ac:dyDescent="0.3">
      <c r="A276" s="21"/>
      <c r="B276" s="3"/>
      <c r="C276" s="3"/>
      <c r="D276" s="22"/>
    </row>
    <row r="277" spans="1:4" ht="28.2" x14ac:dyDescent="0.3">
      <c r="A277" s="21"/>
      <c r="B277" s="45"/>
      <c r="C277" s="47" t="s">
        <v>13</v>
      </c>
      <c r="D277" s="51">
        <f>+C275-D275</f>
        <v>474.62799999999999</v>
      </c>
    </row>
    <row r="278" spans="1:4" x14ac:dyDescent="0.3">
      <c r="A278" s="21"/>
      <c r="B278" s="3"/>
      <c r="C278" s="3"/>
      <c r="D278" s="22"/>
    </row>
    <row r="279" spans="1:4" x14ac:dyDescent="0.3">
      <c r="A279" s="23"/>
      <c r="B279" s="4" t="s">
        <v>14</v>
      </c>
      <c r="C279" s="2"/>
      <c r="D279" s="24"/>
    </row>
    <row r="280" spans="1:4" ht="15" thickBot="1" x14ac:dyDescent="0.35">
      <c r="A280" s="23"/>
      <c r="B280" s="9"/>
      <c r="C280" s="9"/>
      <c r="D280" s="24"/>
    </row>
    <row r="281" spans="1:4" x14ac:dyDescent="0.3">
      <c r="A281" s="300" t="s">
        <v>28</v>
      </c>
      <c r="B281" s="300" t="s">
        <v>93</v>
      </c>
      <c r="C281" s="302" t="s">
        <v>30</v>
      </c>
      <c r="D281" s="303"/>
    </row>
    <row r="282" spans="1:4" ht="15" thickBot="1" x14ac:dyDescent="0.35">
      <c r="A282" s="301"/>
      <c r="B282" s="301"/>
      <c r="C282" s="304"/>
      <c r="D282" s="305"/>
    </row>
    <row r="283" spans="1:4" x14ac:dyDescent="0.3">
      <c r="A283" s="37"/>
      <c r="B283" s="34"/>
      <c r="C283" s="32"/>
      <c r="D283" s="25"/>
    </row>
    <row r="284" spans="1:4" x14ac:dyDescent="0.3">
      <c r="A284" s="37"/>
      <c r="B284" s="34"/>
      <c r="C284" s="32"/>
      <c r="D284" s="25"/>
    </row>
    <row r="285" spans="1:4" x14ac:dyDescent="0.3">
      <c r="A285" s="37"/>
      <c r="B285" s="34"/>
      <c r="C285" s="32"/>
      <c r="D285" s="25"/>
    </row>
    <row r="286" spans="1:4" x14ac:dyDescent="0.3">
      <c r="A286" s="37"/>
      <c r="B286" s="34"/>
      <c r="C286" s="32"/>
      <c r="D286" s="25"/>
    </row>
    <row r="287" spans="1:4" x14ac:dyDescent="0.3">
      <c r="A287" s="37"/>
      <c r="B287" s="34"/>
      <c r="C287" s="32"/>
      <c r="D287" s="25"/>
    </row>
    <row r="288" spans="1:4" x14ac:dyDescent="0.3">
      <c r="A288" s="37"/>
      <c r="B288" s="34"/>
      <c r="C288" s="32"/>
      <c r="D288" s="2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8" t="s">
        <v>20</v>
      </c>
      <c r="B293" s="35" t="s">
        <v>21</v>
      </c>
      <c r="C293" s="290" t="s">
        <v>38</v>
      </c>
      <c r="D293" s="291"/>
    </row>
    <row r="294" spans="1:4" ht="15" thickBot="1" x14ac:dyDescent="0.35">
      <c r="A294" s="36" t="s">
        <v>22</v>
      </c>
      <c r="B294" s="33" t="s">
        <v>23</v>
      </c>
      <c r="C294" s="292" t="s">
        <v>39</v>
      </c>
      <c r="D294" s="293"/>
    </row>
    <row r="299" spans="1:4" ht="15" thickBot="1" x14ac:dyDescent="0.35"/>
    <row r="300" spans="1:4" ht="25.2" x14ac:dyDescent="0.3">
      <c r="A300" s="294"/>
      <c r="B300" s="295"/>
      <c r="C300" s="295"/>
      <c r="D300" s="296"/>
    </row>
    <row r="301" spans="1:4" x14ac:dyDescent="0.3">
      <c r="A301" s="31"/>
      <c r="B301" s="48"/>
      <c r="C301" s="2"/>
      <c r="D301" s="30"/>
    </row>
    <row r="302" spans="1:4" x14ac:dyDescent="0.3">
      <c r="A302" s="31"/>
      <c r="B302" s="49"/>
      <c r="C302" s="2"/>
      <c r="D302" s="30"/>
    </row>
    <row r="303" spans="1:4" x14ac:dyDescent="0.3">
      <c r="A303" s="31"/>
      <c r="B303" s="49"/>
      <c r="C303" s="2"/>
      <c r="D303" s="30"/>
    </row>
    <row r="304" spans="1:4" ht="15" thickBot="1" x14ac:dyDescent="0.35">
      <c r="A304" s="31"/>
      <c r="B304" s="2"/>
      <c r="C304" s="2"/>
      <c r="D304" s="30"/>
    </row>
    <row r="305" spans="1:4" ht="25.8" thickBot="1" x14ac:dyDescent="0.35">
      <c r="A305" s="297" t="s">
        <v>0</v>
      </c>
      <c r="B305" s="298"/>
      <c r="C305" s="298"/>
      <c r="D305" s="299"/>
    </row>
    <row r="306" spans="1:4" ht="25.2" x14ac:dyDescent="0.3">
      <c r="A306" s="52"/>
      <c r="B306" s="53"/>
      <c r="C306" s="53"/>
      <c r="D306" s="54"/>
    </row>
    <row r="307" spans="1:4" x14ac:dyDescent="0.3">
      <c r="A307" s="11" t="s">
        <v>1</v>
      </c>
      <c r="B307" s="3" t="s">
        <v>36</v>
      </c>
      <c r="C307" s="3"/>
      <c r="D307" s="12"/>
    </row>
    <row r="308" spans="1:4" x14ac:dyDescent="0.3">
      <c r="A308" s="11" t="s">
        <v>2</v>
      </c>
      <c r="B308" s="55">
        <v>1500680861</v>
      </c>
      <c r="C308" s="4"/>
      <c r="D308" s="13"/>
    </row>
    <row r="309" spans="1:4" x14ac:dyDescent="0.3">
      <c r="A309" s="11" t="s">
        <v>3</v>
      </c>
      <c r="B309" s="3" t="s">
        <v>37</v>
      </c>
      <c r="C309" s="4"/>
      <c r="D309" s="14"/>
    </row>
    <row r="310" spans="1:4" x14ac:dyDescent="0.3">
      <c r="A310" s="11" t="s">
        <v>26</v>
      </c>
      <c r="B310" s="3" t="s">
        <v>122</v>
      </c>
      <c r="C310" s="4"/>
      <c r="D310" s="15"/>
    </row>
    <row r="311" spans="1:4" x14ac:dyDescent="0.3">
      <c r="A311" s="11" t="s">
        <v>99</v>
      </c>
      <c r="B311" s="55">
        <v>2022</v>
      </c>
      <c r="C311" s="4"/>
      <c r="D311" s="15"/>
    </row>
    <row r="312" spans="1:4" x14ac:dyDescent="0.3">
      <c r="A312" s="16"/>
      <c r="B312" s="5"/>
      <c r="C312" s="5"/>
      <c r="D312" s="17"/>
    </row>
    <row r="313" spans="1:4" x14ac:dyDescent="0.3">
      <c r="A313" s="39" t="s">
        <v>94</v>
      </c>
      <c r="B313" s="40"/>
      <c r="C313" s="41" t="s">
        <v>5</v>
      </c>
      <c r="D313" s="42" t="s">
        <v>6</v>
      </c>
    </row>
    <row r="314" spans="1:4" x14ac:dyDescent="0.3">
      <c r="A314" s="18"/>
      <c r="B314" s="6"/>
      <c r="C314" s="7"/>
      <c r="D314" s="19"/>
    </row>
    <row r="315" spans="1:4" x14ac:dyDescent="0.3">
      <c r="A315" s="26" t="s">
        <v>16</v>
      </c>
      <c r="B315" s="27"/>
      <c r="C315" s="28">
        <v>536</v>
      </c>
      <c r="D315" s="29"/>
    </row>
    <row r="316" spans="1:4" x14ac:dyDescent="0.3">
      <c r="A316" s="26" t="s">
        <v>100</v>
      </c>
      <c r="B316" s="27"/>
      <c r="C316" s="28"/>
      <c r="D316" s="29"/>
    </row>
    <row r="317" spans="1:4" x14ac:dyDescent="0.3">
      <c r="A317" s="26" t="s">
        <v>8</v>
      </c>
      <c r="B317" s="27"/>
      <c r="C317" s="28"/>
      <c r="D317" s="29"/>
    </row>
    <row r="318" spans="1:4" x14ac:dyDescent="0.3">
      <c r="A318" s="26" t="s">
        <v>9</v>
      </c>
      <c r="B318" s="27"/>
      <c r="C318" s="28"/>
      <c r="D318" s="29"/>
    </row>
    <row r="319" spans="1:4" x14ac:dyDescent="0.3">
      <c r="A319" s="26"/>
      <c r="B319" s="27" t="s">
        <v>10</v>
      </c>
      <c r="C319" s="28"/>
      <c r="D319" s="29">
        <f>C315*11.45%</f>
        <v>61.371999999999993</v>
      </c>
    </row>
    <row r="320" spans="1:4" x14ac:dyDescent="0.3">
      <c r="A320" s="26"/>
      <c r="B320" s="27" t="s">
        <v>11</v>
      </c>
      <c r="C320" s="28"/>
      <c r="D320" s="29"/>
    </row>
    <row r="321" spans="1:4" x14ac:dyDescent="0.3">
      <c r="A321" s="26"/>
      <c r="B321" s="27" t="s">
        <v>55</v>
      </c>
      <c r="C321" s="28"/>
      <c r="D321" s="29"/>
    </row>
    <row r="322" spans="1:4" x14ac:dyDescent="0.3">
      <c r="A322" s="26"/>
      <c r="B322" s="27" t="s">
        <v>18</v>
      </c>
      <c r="C322" s="28"/>
      <c r="D322" s="29"/>
    </row>
    <row r="323" spans="1:4" x14ac:dyDescent="0.3">
      <c r="A323" s="26"/>
      <c r="B323" s="27"/>
      <c r="C323" s="28"/>
      <c r="D323" s="29"/>
    </row>
    <row r="324" spans="1:4" x14ac:dyDescent="0.3">
      <c r="A324" s="21"/>
      <c r="B324" s="8"/>
      <c r="C324" s="1"/>
      <c r="D324" s="20"/>
    </row>
    <row r="325" spans="1:4" x14ac:dyDescent="0.3">
      <c r="A325" s="43"/>
      <c r="B325" s="44" t="s">
        <v>12</v>
      </c>
      <c r="C325" s="46">
        <f>SUM(C315:C324)</f>
        <v>536</v>
      </c>
      <c r="D325" s="50">
        <f>SUM(D315:D324)</f>
        <v>61.371999999999993</v>
      </c>
    </row>
    <row r="326" spans="1:4" x14ac:dyDescent="0.3">
      <c r="A326" s="21"/>
      <c r="B326" s="3"/>
      <c r="C326" s="3"/>
      <c r="D326" s="22"/>
    </row>
    <row r="327" spans="1:4" ht="28.2" x14ac:dyDescent="0.3">
      <c r="A327" s="21"/>
      <c r="B327" s="45"/>
      <c r="C327" s="47" t="s">
        <v>13</v>
      </c>
      <c r="D327" s="51">
        <f>+C325-D325</f>
        <v>474.62799999999999</v>
      </c>
    </row>
    <row r="328" spans="1:4" x14ac:dyDescent="0.3">
      <c r="A328" s="21"/>
      <c r="B328" s="3"/>
      <c r="C328" s="3"/>
      <c r="D328" s="22"/>
    </row>
    <row r="329" spans="1:4" x14ac:dyDescent="0.3">
      <c r="A329" s="23"/>
      <c r="B329" s="4" t="s">
        <v>14</v>
      </c>
      <c r="C329" s="2"/>
      <c r="D329" s="24"/>
    </row>
    <row r="330" spans="1:4" ht="15" thickBot="1" x14ac:dyDescent="0.35">
      <c r="A330" s="23"/>
      <c r="B330" s="9"/>
      <c r="C330" s="9"/>
      <c r="D330" s="24"/>
    </row>
    <row r="331" spans="1:4" x14ac:dyDescent="0.3">
      <c r="A331" s="300" t="s">
        <v>28</v>
      </c>
      <c r="B331" s="300" t="s">
        <v>93</v>
      </c>
      <c r="C331" s="302" t="s">
        <v>30</v>
      </c>
      <c r="D331" s="303"/>
    </row>
    <row r="332" spans="1:4" ht="15" thickBot="1" x14ac:dyDescent="0.35">
      <c r="A332" s="301"/>
      <c r="B332" s="301"/>
      <c r="C332" s="304"/>
      <c r="D332" s="305"/>
    </row>
    <row r="333" spans="1:4" x14ac:dyDescent="0.3">
      <c r="A333" s="37"/>
      <c r="B333" s="34"/>
      <c r="C333" s="32"/>
      <c r="D333" s="25"/>
    </row>
    <row r="334" spans="1:4" x14ac:dyDescent="0.3">
      <c r="A334" s="37"/>
      <c r="B334" s="34"/>
      <c r="C334" s="32"/>
      <c r="D334" s="25"/>
    </row>
    <row r="335" spans="1:4" x14ac:dyDescent="0.3">
      <c r="A335" s="37"/>
      <c r="B335" s="34"/>
      <c r="C335" s="32"/>
      <c r="D335" s="25"/>
    </row>
    <row r="336" spans="1:4" x14ac:dyDescent="0.3">
      <c r="A336" s="37"/>
      <c r="B336" s="34"/>
      <c r="C336" s="32"/>
      <c r="D336" s="25"/>
    </row>
    <row r="337" spans="1:4" x14ac:dyDescent="0.3">
      <c r="A337" s="37"/>
      <c r="B337" s="34"/>
      <c r="C337" s="32"/>
      <c r="D337" s="25"/>
    </row>
    <row r="338" spans="1:4" x14ac:dyDescent="0.3">
      <c r="A338" s="37"/>
      <c r="B338" s="34"/>
      <c r="C338" s="32"/>
      <c r="D338" s="2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8" t="s">
        <v>20</v>
      </c>
      <c r="B343" s="35" t="s">
        <v>21</v>
      </c>
      <c r="C343" s="290" t="s">
        <v>38</v>
      </c>
      <c r="D343" s="291"/>
    </row>
    <row r="344" spans="1:4" ht="15" thickBot="1" x14ac:dyDescent="0.35">
      <c r="A344" s="36" t="s">
        <v>22</v>
      </c>
      <c r="B344" s="33" t="s">
        <v>23</v>
      </c>
      <c r="C344" s="292" t="s">
        <v>39</v>
      </c>
      <c r="D344" s="293"/>
    </row>
    <row r="349" spans="1:4" ht="15" thickBot="1" x14ac:dyDescent="0.35"/>
    <row r="350" spans="1:4" ht="25.2" x14ac:dyDescent="0.3">
      <c r="A350" s="294"/>
      <c r="B350" s="295"/>
      <c r="C350" s="295"/>
      <c r="D350" s="296"/>
    </row>
    <row r="351" spans="1:4" x14ac:dyDescent="0.3">
      <c r="A351" s="31"/>
      <c r="B351" s="48"/>
      <c r="C351" s="2"/>
      <c r="D351" s="30"/>
    </row>
    <row r="352" spans="1:4" x14ac:dyDescent="0.3">
      <c r="A352" s="31"/>
      <c r="B352" s="49"/>
      <c r="C352" s="2"/>
      <c r="D352" s="30"/>
    </row>
    <row r="353" spans="1:4" x14ac:dyDescent="0.3">
      <c r="A353" s="31"/>
      <c r="B353" s="49"/>
      <c r="C353" s="2"/>
      <c r="D353" s="30"/>
    </row>
    <row r="354" spans="1:4" ht="15" thickBot="1" x14ac:dyDescent="0.35">
      <c r="A354" s="31"/>
      <c r="B354" s="2"/>
      <c r="C354" s="2"/>
      <c r="D354" s="30"/>
    </row>
    <row r="355" spans="1:4" ht="25.8" thickBot="1" x14ac:dyDescent="0.35">
      <c r="A355" s="297" t="s">
        <v>133</v>
      </c>
      <c r="B355" s="298"/>
      <c r="C355" s="298"/>
      <c r="D355" s="299"/>
    </row>
    <row r="356" spans="1:4" ht="25.2" x14ac:dyDescent="0.3">
      <c r="A356" s="52"/>
      <c r="B356" s="53"/>
      <c r="C356" s="53"/>
      <c r="D356" s="54"/>
    </row>
    <row r="357" spans="1:4" x14ac:dyDescent="0.3">
      <c r="A357" s="11" t="s">
        <v>1</v>
      </c>
      <c r="B357" s="3" t="s">
        <v>36</v>
      </c>
      <c r="C357" s="3"/>
      <c r="D357" s="12"/>
    </row>
    <row r="358" spans="1:4" x14ac:dyDescent="0.3">
      <c r="A358" s="11" t="s">
        <v>2</v>
      </c>
      <c r="B358" s="55">
        <v>1500680861</v>
      </c>
      <c r="C358" s="4"/>
      <c r="D358" s="13"/>
    </row>
    <row r="359" spans="1:4" x14ac:dyDescent="0.3">
      <c r="A359" s="11" t="s">
        <v>3</v>
      </c>
      <c r="B359" s="3" t="s">
        <v>37</v>
      </c>
      <c r="C359" s="4"/>
      <c r="D359" s="14"/>
    </row>
    <row r="360" spans="1:4" x14ac:dyDescent="0.3">
      <c r="A360" s="11" t="s">
        <v>26</v>
      </c>
      <c r="B360" s="3" t="s">
        <v>134</v>
      </c>
      <c r="C360" s="4"/>
      <c r="D360" s="15"/>
    </row>
    <row r="361" spans="1:4" x14ac:dyDescent="0.3">
      <c r="A361" s="11" t="s">
        <v>99</v>
      </c>
      <c r="B361" s="55">
        <v>2022</v>
      </c>
      <c r="C361" s="4"/>
      <c r="D361" s="15"/>
    </row>
    <row r="362" spans="1:4" x14ac:dyDescent="0.3">
      <c r="A362" s="16"/>
      <c r="B362" s="5"/>
      <c r="C362" s="5"/>
      <c r="D362" s="17"/>
    </row>
    <row r="363" spans="1:4" x14ac:dyDescent="0.3">
      <c r="A363" s="39" t="s">
        <v>94</v>
      </c>
      <c r="B363" s="40"/>
      <c r="C363" s="41" t="s">
        <v>5</v>
      </c>
      <c r="D363" s="42" t="s">
        <v>6</v>
      </c>
    </row>
    <row r="364" spans="1:4" x14ac:dyDescent="0.3">
      <c r="A364" s="18"/>
      <c r="B364" s="6"/>
      <c r="C364" s="7"/>
      <c r="D364" s="19"/>
    </row>
    <row r="365" spans="1:4" x14ac:dyDescent="0.3">
      <c r="A365" s="26" t="s">
        <v>16</v>
      </c>
      <c r="B365" s="27"/>
      <c r="C365" s="28"/>
      <c r="D365" s="29"/>
    </row>
    <row r="366" spans="1:4" x14ac:dyDescent="0.3">
      <c r="A366" s="26" t="s">
        <v>100</v>
      </c>
      <c r="B366" s="27"/>
      <c r="C366" s="28"/>
      <c r="D366" s="29"/>
    </row>
    <row r="367" spans="1:4" x14ac:dyDescent="0.3">
      <c r="A367" s="26" t="s">
        <v>8</v>
      </c>
      <c r="B367" s="27"/>
      <c r="C367" s="28"/>
      <c r="D367" s="29"/>
    </row>
    <row r="368" spans="1:4" x14ac:dyDescent="0.3">
      <c r="A368" s="26" t="s">
        <v>9</v>
      </c>
      <c r="B368" s="27"/>
      <c r="C368" s="28">
        <f>(425/12)*12</f>
        <v>425</v>
      </c>
      <c r="D368" s="29"/>
    </row>
    <row r="369" spans="1:4" x14ac:dyDescent="0.3">
      <c r="A369" s="26"/>
      <c r="B369" s="27" t="s">
        <v>10</v>
      </c>
      <c r="C369" s="28"/>
      <c r="D369" s="29">
        <f>C365*11.45%</f>
        <v>0</v>
      </c>
    </row>
    <row r="370" spans="1:4" x14ac:dyDescent="0.3">
      <c r="A370" s="26"/>
      <c r="B370" s="27" t="s">
        <v>11</v>
      </c>
      <c r="C370" s="28"/>
      <c r="D370" s="29"/>
    </row>
    <row r="371" spans="1:4" x14ac:dyDescent="0.3">
      <c r="A371" s="26"/>
      <c r="B371" s="27" t="s">
        <v>55</v>
      </c>
      <c r="C371" s="28"/>
      <c r="D371" s="29"/>
    </row>
    <row r="372" spans="1:4" x14ac:dyDescent="0.3">
      <c r="A372" s="26"/>
      <c r="B372" s="27" t="s">
        <v>18</v>
      </c>
      <c r="C372" s="28"/>
      <c r="D372" s="29"/>
    </row>
    <row r="373" spans="1:4" x14ac:dyDescent="0.3">
      <c r="A373" s="26"/>
      <c r="B373" s="27"/>
      <c r="C373" s="28"/>
      <c r="D373" s="29"/>
    </row>
    <row r="374" spans="1:4" x14ac:dyDescent="0.3">
      <c r="A374" s="21"/>
      <c r="B374" s="8"/>
      <c r="C374" s="1"/>
      <c r="D374" s="20"/>
    </row>
    <row r="375" spans="1:4" x14ac:dyDescent="0.3">
      <c r="A375" s="43"/>
      <c r="B375" s="44" t="s">
        <v>12</v>
      </c>
      <c r="C375" s="46">
        <f>SUM(C365:C374)</f>
        <v>425</v>
      </c>
      <c r="D375" s="50">
        <f>SUM(D365:D374)</f>
        <v>0</v>
      </c>
    </row>
    <row r="376" spans="1:4" x14ac:dyDescent="0.3">
      <c r="A376" s="21"/>
      <c r="B376" s="3"/>
      <c r="C376" s="3"/>
      <c r="D376" s="22"/>
    </row>
    <row r="377" spans="1:4" ht="28.2" x14ac:dyDescent="0.3">
      <c r="A377" s="21"/>
      <c r="B377" s="45"/>
      <c r="C377" s="47" t="s">
        <v>13</v>
      </c>
      <c r="D377" s="51">
        <f>+C375-D375</f>
        <v>425</v>
      </c>
    </row>
    <row r="378" spans="1:4" x14ac:dyDescent="0.3">
      <c r="A378" s="21"/>
      <c r="B378" s="3"/>
      <c r="C378" s="3"/>
      <c r="D378" s="22"/>
    </row>
    <row r="379" spans="1:4" x14ac:dyDescent="0.3">
      <c r="A379" s="23"/>
      <c r="B379" s="4" t="s">
        <v>14</v>
      </c>
      <c r="C379" s="2"/>
      <c r="D379" s="24"/>
    </row>
    <row r="380" spans="1:4" ht="15" thickBot="1" x14ac:dyDescent="0.35">
      <c r="A380" s="23"/>
      <c r="B380" s="9"/>
      <c r="C380" s="9"/>
      <c r="D380" s="24"/>
    </row>
    <row r="381" spans="1:4" x14ac:dyDescent="0.3">
      <c r="A381" s="300" t="s">
        <v>28</v>
      </c>
      <c r="B381" s="300" t="s">
        <v>93</v>
      </c>
      <c r="C381" s="302" t="s">
        <v>30</v>
      </c>
      <c r="D381" s="303"/>
    </row>
    <row r="382" spans="1:4" ht="15" thickBot="1" x14ac:dyDescent="0.35">
      <c r="A382" s="301"/>
      <c r="B382" s="301"/>
      <c r="C382" s="304"/>
      <c r="D382" s="305"/>
    </row>
    <row r="383" spans="1:4" x14ac:dyDescent="0.3">
      <c r="A383" s="37"/>
      <c r="B383" s="34"/>
      <c r="C383" s="32"/>
      <c r="D383" s="25"/>
    </row>
    <row r="384" spans="1:4" x14ac:dyDescent="0.3">
      <c r="A384" s="37"/>
      <c r="B384" s="34"/>
      <c r="C384" s="32"/>
      <c r="D384" s="25"/>
    </row>
    <row r="385" spans="1:4" x14ac:dyDescent="0.3">
      <c r="A385" s="37"/>
      <c r="B385" s="34"/>
      <c r="C385" s="32"/>
      <c r="D385" s="25"/>
    </row>
    <row r="386" spans="1:4" x14ac:dyDescent="0.3">
      <c r="A386" s="37"/>
      <c r="B386" s="34"/>
      <c r="C386" s="32"/>
      <c r="D386" s="25"/>
    </row>
    <row r="387" spans="1:4" x14ac:dyDescent="0.3">
      <c r="A387" s="37"/>
      <c r="B387" s="34"/>
      <c r="C387" s="32"/>
      <c r="D387" s="25"/>
    </row>
    <row r="388" spans="1:4" x14ac:dyDescent="0.3">
      <c r="A388" s="37"/>
      <c r="B388" s="34"/>
      <c r="C388" s="32"/>
      <c r="D388" s="2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8" t="s">
        <v>20</v>
      </c>
      <c r="B393" s="35" t="s">
        <v>21</v>
      </c>
      <c r="C393" s="290" t="s">
        <v>38</v>
      </c>
      <c r="D393" s="291"/>
    </row>
    <row r="394" spans="1:4" ht="15" thickBot="1" x14ac:dyDescent="0.35">
      <c r="A394" s="36" t="s">
        <v>22</v>
      </c>
      <c r="B394" s="33" t="s">
        <v>23</v>
      </c>
      <c r="C394" s="292" t="s">
        <v>39</v>
      </c>
      <c r="D394" s="293"/>
    </row>
    <row r="400" spans="1:4" ht="15" thickBot="1" x14ac:dyDescent="0.35"/>
    <row r="401" spans="1:4" ht="25.2" x14ac:dyDescent="0.3">
      <c r="A401" s="294"/>
      <c r="B401" s="295"/>
      <c r="C401" s="295"/>
      <c r="D401" s="296"/>
    </row>
    <row r="402" spans="1:4" x14ac:dyDescent="0.3">
      <c r="A402" s="31"/>
      <c r="B402" s="48"/>
      <c r="C402" s="2"/>
      <c r="D402" s="30"/>
    </row>
    <row r="403" spans="1:4" x14ac:dyDescent="0.3">
      <c r="A403" s="31"/>
      <c r="B403" s="49"/>
      <c r="C403" s="2"/>
      <c r="D403" s="30"/>
    </row>
    <row r="404" spans="1:4" x14ac:dyDescent="0.3">
      <c r="A404" s="31"/>
      <c r="B404" s="49"/>
      <c r="C404" s="2"/>
      <c r="D404" s="30"/>
    </row>
    <row r="405" spans="1:4" ht="15" thickBot="1" x14ac:dyDescent="0.35">
      <c r="A405" s="31"/>
      <c r="B405" s="2"/>
      <c r="C405" s="2"/>
      <c r="D405" s="30"/>
    </row>
    <row r="406" spans="1:4" ht="25.8" thickBot="1" x14ac:dyDescent="0.35">
      <c r="A406" s="297" t="s">
        <v>0</v>
      </c>
      <c r="B406" s="298"/>
      <c r="C406" s="298"/>
      <c r="D406" s="299"/>
    </row>
    <row r="407" spans="1:4" ht="25.2" x14ac:dyDescent="0.3">
      <c r="A407" s="52"/>
      <c r="B407" s="53"/>
      <c r="C407" s="53"/>
      <c r="D407" s="54"/>
    </row>
    <row r="408" spans="1:4" x14ac:dyDescent="0.3">
      <c r="A408" s="11" t="s">
        <v>1</v>
      </c>
      <c r="B408" s="3" t="s">
        <v>36</v>
      </c>
      <c r="C408" s="3"/>
      <c r="D408" s="12"/>
    </row>
    <row r="409" spans="1:4" x14ac:dyDescent="0.3">
      <c r="A409" s="11" t="s">
        <v>2</v>
      </c>
      <c r="B409" s="55">
        <v>1500680861</v>
      </c>
      <c r="C409" s="4"/>
      <c r="D409" s="13"/>
    </row>
    <row r="410" spans="1:4" x14ac:dyDescent="0.3">
      <c r="A410" s="11" t="s">
        <v>3</v>
      </c>
      <c r="B410" s="3" t="s">
        <v>37</v>
      </c>
      <c r="C410" s="4"/>
      <c r="D410" s="14"/>
    </row>
    <row r="411" spans="1:4" x14ac:dyDescent="0.3">
      <c r="A411" s="11" t="s">
        <v>26</v>
      </c>
      <c r="B411" s="3" t="s">
        <v>134</v>
      </c>
      <c r="C411" s="4"/>
      <c r="D411" s="15"/>
    </row>
    <row r="412" spans="1:4" x14ac:dyDescent="0.3">
      <c r="A412" s="11" t="s">
        <v>99</v>
      </c>
      <c r="B412" s="55">
        <v>2022</v>
      </c>
      <c r="C412" s="4"/>
      <c r="D412" s="15"/>
    </row>
    <row r="413" spans="1:4" x14ac:dyDescent="0.3">
      <c r="A413" s="16"/>
      <c r="B413" s="5"/>
      <c r="C413" s="5"/>
      <c r="D413" s="17"/>
    </row>
    <row r="414" spans="1:4" x14ac:dyDescent="0.3">
      <c r="A414" s="39" t="s">
        <v>94</v>
      </c>
      <c r="B414" s="40"/>
      <c r="C414" s="41" t="s">
        <v>5</v>
      </c>
      <c r="D414" s="42" t="s">
        <v>6</v>
      </c>
    </row>
    <row r="415" spans="1:4" x14ac:dyDescent="0.3">
      <c r="A415" s="18"/>
      <c r="B415" s="6"/>
      <c r="C415" s="7"/>
      <c r="D415" s="19"/>
    </row>
    <row r="416" spans="1:4" x14ac:dyDescent="0.3">
      <c r="A416" s="26" t="s">
        <v>16</v>
      </c>
      <c r="B416" s="27"/>
      <c r="C416" s="28">
        <v>536</v>
      </c>
      <c r="D416" s="29"/>
    </row>
    <row r="417" spans="1:4" x14ac:dyDescent="0.3">
      <c r="A417" s="26" t="s">
        <v>100</v>
      </c>
      <c r="B417" s="27"/>
      <c r="C417" s="28"/>
      <c r="D417" s="29"/>
    </row>
    <row r="418" spans="1:4" x14ac:dyDescent="0.3">
      <c r="A418" s="26" t="s">
        <v>8</v>
      </c>
      <c r="B418" s="27"/>
      <c r="C418" s="28"/>
      <c r="D418" s="29"/>
    </row>
    <row r="419" spans="1:4" x14ac:dyDescent="0.3">
      <c r="A419" s="26" t="s">
        <v>9</v>
      </c>
      <c r="B419" s="27"/>
      <c r="C419" s="28"/>
      <c r="D419" s="29"/>
    </row>
    <row r="420" spans="1:4" x14ac:dyDescent="0.3">
      <c r="A420" s="26"/>
      <c r="B420" s="27" t="s">
        <v>10</v>
      </c>
      <c r="C420" s="28"/>
      <c r="D420" s="29">
        <f>C416*11.45%</f>
        <v>61.371999999999993</v>
      </c>
    </row>
    <row r="421" spans="1:4" x14ac:dyDescent="0.3">
      <c r="A421" s="26"/>
      <c r="B421" s="27" t="s">
        <v>11</v>
      </c>
      <c r="C421" s="28"/>
      <c r="D421" s="29"/>
    </row>
    <row r="422" spans="1:4" x14ac:dyDescent="0.3">
      <c r="A422" s="26"/>
      <c r="B422" s="27" t="s">
        <v>55</v>
      </c>
      <c r="C422" s="28"/>
      <c r="D422" s="29"/>
    </row>
    <row r="423" spans="1:4" x14ac:dyDescent="0.3">
      <c r="A423" s="26"/>
      <c r="B423" s="27" t="s">
        <v>18</v>
      </c>
      <c r="C423" s="28"/>
      <c r="D423" s="29"/>
    </row>
    <row r="424" spans="1:4" x14ac:dyDescent="0.3">
      <c r="A424" s="26"/>
      <c r="B424" s="27"/>
      <c r="C424" s="28"/>
      <c r="D424" s="29"/>
    </row>
    <row r="425" spans="1:4" x14ac:dyDescent="0.3">
      <c r="A425" s="21"/>
      <c r="B425" s="8"/>
      <c r="C425" s="1"/>
      <c r="D425" s="20"/>
    </row>
    <row r="426" spans="1:4" x14ac:dyDescent="0.3">
      <c r="A426" s="43"/>
      <c r="B426" s="44" t="s">
        <v>12</v>
      </c>
      <c r="C426" s="46">
        <f>SUM(C416:C425)</f>
        <v>536</v>
      </c>
      <c r="D426" s="50">
        <f>SUM(D416:D425)</f>
        <v>61.371999999999993</v>
      </c>
    </row>
    <row r="427" spans="1:4" x14ac:dyDescent="0.3">
      <c r="A427" s="21"/>
      <c r="B427" s="3"/>
      <c r="C427" s="3"/>
      <c r="D427" s="22"/>
    </row>
    <row r="428" spans="1:4" ht="28.2" x14ac:dyDescent="0.3">
      <c r="A428" s="21"/>
      <c r="B428" s="45"/>
      <c r="C428" s="47" t="s">
        <v>13</v>
      </c>
      <c r="D428" s="51">
        <f>+C426-D426</f>
        <v>474.62799999999999</v>
      </c>
    </row>
    <row r="429" spans="1:4" x14ac:dyDescent="0.3">
      <c r="A429" s="21"/>
      <c r="B429" s="3"/>
      <c r="C429" s="3"/>
      <c r="D429" s="22"/>
    </row>
    <row r="430" spans="1:4" x14ac:dyDescent="0.3">
      <c r="A430" s="23"/>
      <c r="B430" s="4" t="s">
        <v>14</v>
      </c>
      <c r="C430" s="2"/>
      <c r="D430" s="24"/>
    </row>
    <row r="431" spans="1:4" ht="15" thickBot="1" x14ac:dyDescent="0.35">
      <c r="A431" s="23"/>
      <c r="B431" s="9"/>
      <c r="C431" s="9"/>
      <c r="D431" s="24"/>
    </row>
    <row r="432" spans="1:4" x14ac:dyDescent="0.3">
      <c r="A432" s="300" t="s">
        <v>28</v>
      </c>
      <c r="B432" s="300" t="s">
        <v>93</v>
      </c>
      <c r="C432" s="302" t="s">
        <v>30</v>
      </c>
      <c r="D432" s="303"/>
    </row>
    <row r="433" spans="1:4" ht="15" thickBot="1" x14ac:dyDescent="0.35">
      <c r="A433" s="301"/>
      <c r="B433" s="301"/>
      <c r="C433" s="304"/>
      <c r="D433" s="305"/>
    </row>
    <row r="434" spans="1:4" x14ac:dyDescent="0.3">
      <c r="A434" s="37"/>
      <c r="B434" s="34"/>
      <c r="C434" s="32"/>
      <c r="D434" s="25"/>
    </row>
    <row r="435" spans="1:4" x14ac:dyDescent="0.3">
      <c r="A435" s="37"/>
      <c r="B435" s="34"/>
      <c r="C435" s="32"/>
      <c r="D435" s="25"/>
    </row>
    <row r="436" spans="1:4" x14ac:dyDescent="0.3">
      <c r="A436" s="37"/>
      <c r="B436" s="34"/>
      <c r="C436" s="32"/>
      <c r="D436" s="25"/>
    </row>
    <row r="437" spans="1:4" x14ac:dyDescent="0.3">
      <c r="A437" s="37"/>
      <c r="B437" s="34"/>
      <c r="C437" s="32"/>
      <c r="D437" s="2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8" t="s">
        <v>20</v>
      </c>
      <c r="B444" s="35" t="s">
        <v>21</v>
      </c>
      <c r="C444" s="290" t="s">
        <v>38</v>
      </c>
      <c r="D444" s="291"/>
    </row>
    <row r="445" spans="1:4" ht="15" thickBot="1" x14ac:dyDescent="0.35">
      <c r="A445" s="36" t="s">
        <v>22</v>
      </c>
      <c r="B445" s="33" t="s">
        <v>23</v>
      </c>
      <c r="C445" s="292" t="s">
        <v>39</v>
      </c>
      <c r="D445" s="293"/>
    </row>
  </sheetData>
  <mergeCells count="63">
    <mergeCell ref="C444:D444"/>
    <mergeCell ref="C445:D445"/>
    <mergeCell ref="A401:D401"/>
    <mergeCell ref="A406:D406"/>
    <mergeCell ref="A432:A433"/>
    <mergeCell ref="B432:B433"/>
    <mergeCell ref="C432:D433"/>
    <mergeCell ref="C343:D343"/>
    <mergeCell ref="C344:D344"/>
    <mergeCell ref="A300:D300"/>
    <mergeCell ref="A305:D305"/>
    <mergeCell ref="A331:A332"/>
    <mergeCell ref="B331:B332"/>
    <mergeCell ref="C331:D332"/>
    <mergeCell ref="C293:D293"/>
    <mergeCell ref="C294:D294"/>
    <mergeCell ref="A250:D250"/>
    <mergeCell ref="A255:D255"/>
    <mergeCell ref="A281:A282"/>
    <mergeCell ref="B281:B282"/>
    <mergeCell ref="C281:D282"/>
    <mergeCell ref="C143:D143"/>
    <mergeCell ref="C144:D144"/>
    <mergeCell ref="A100:D100"/>
    <mergeCell ref="A105:D105"/>
    <mergeCell ref="A131:A132"/>
    <mergeCell ref="B131:B132"/>
    <mergeCell ref="C131:D132"/>
    <mergeCell ref="C93:D93"/>
    <mergeCell ref="C94:D94"/>
    <mergeCell ref="A50:D50"/>
    <mergeCell ref="A55:D55"/>
    <mergeCell ref="A81:A82"/>
    <mergeCell ref="B81:B82"/>
    <mergeCell ref="C81:D82"/>
    <mergeCell ref="C45:D45"/>
    <mergeCell ref="C46:D46"/>
    <mergeCell ref="A2:D2"/>
    <mergeCell ref="A7:D7"/>
    <mergeCell ref="A33:A34"/>
    <mergeCell ref="B33:B34"/>
    <mergeCell ref="C33:D34"/>
    <mergeCell ref="C193:D193"/>
    <mergeCell ref="C194:D194"/>
    <mergeCell ref="A150:D150"/>
    <mergeCell ref="A155:D155"/>
    <mergeCell ref="A181:A182"/>
    <mergeCell ref="B181:B182"/>
    <mergeCell ref="C181:D182"/>
    <mergeCell ref="C243:D243"/>
    <mergeCell ref="C244:D244"/>
    <mergeCell ref="A200:D200"/>
    <mergeCell ref="A205:D205"/>
    <mergeCell ref="A231:A232"/>
    <mergeCell ref="B231:B232"/>
    <mergeCell ref="C231:D232"/>
    <mergeCell ref="C393:D393"/>
    <mergeCell ref="C394:D394"/>
    <mergeCell ref="A350:D350"/>
    <mergeCell ref="A355:D355"/>
    <mergeCell ref="A381:A382"/>
    <mergeCell ref="B381:B382"/>
    <mergeCell ref="C381:D382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"/>
  <sheetViews>
    <sheetView topLeftCell="A23" zoomScale="83" zoomScaleNormal="83" workbookViewId="0">
      <selection activeCell="T30" sqref="S30:T30"/>
    </sheetView>
  </sheetViews>
  <sheetFormatPr baseColWidth="10" defaultRowHeight="15.6" outlineLevelCol="1" x14ac:dyDescent="0.3"/>
  <cols>
    <col min="1" max="1" width="8.6640625" bestFit="1" customWidth="1"/>
    <col min="2" max="2" width="7.33203125" customWidth="1"/>
    <col min="3" max="3" width="15.5546875" customWidth="1"/>
    <col min="4" max="4" width="33.33203125" customWidth="1"/>
    <col min="5" max="5" width="18.109375" customWidth="1"/>
    <col min="6" max="6" width="10.77734375" bestFit="1" customWidth="1"/>
    <col min="7" max="7" width="7.77734375" customWidth="1" outlineLevel="1"/>
    <col min="8" max="8" width="9.33203125" customWidth="1" outlineLevel="1"/>
    <col min="9" max="9" width="9" customWidth="1" outlineLevel="1"/>
    <col min="10" max="10" width="8.33203125" customWidth="1" outlineLevel="1"/>
    <col min="11" max="11" width="9.77734375" customWidth="1" outlineLevel="1"/>
    <col min="12" max="12" width="9.88671875" customWidth="1" outlineLevel="1"/>
    <col min="13" max="13" width="10.109375" customWidth="1" outlineLevel="1"/>
    <col min="14" max="14" width="7" customWidth="1" outlineLevel="1"/>
    <col min="15" max="15" width="6.77734375" customWidth="1" outlineLevel="1"/>
    <col min="16" max="16" width="7.6640625" customWidth="1" outlineLevel="1"/>
    <col min="17" max="17" width="7.77734375" customWidth="1" outlineLevel="1"/>
    <col min="18" max="18" width="8" customWidth="1"/>
    <col min="21" max="21" width="24" customWidth="1"/>
    <col min="22" max="22" width="15.5546875" style="123" customWidth="1"/>
    <col min="23" max="23" width="18.33203125" style="126" customWidth="1"/>
    <col min="24" max="24" width="13.88671875" customWidth="1"/>
    <col min="25" max="25" width="10" customWidth="1"/>
  </cols>
  <sheetData>
    <row r="1" spans="1:24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/>
    </row>
    <row r="2" spans="1:24" x14ac:dyDescent="0.3">
      <c r="A2" s="307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9"/>
    </row>
    <row r="3" spans="1:24" x14ac:dyDescent="0.3">
      <c r="A3" s="307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9"/>
    </row>
    <row r="4" spans="1:24" x14ac:dyDescent="0.3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9"/>
    </row>
    <row r="5" spans="1:24" ht="16.2" thickBot="1" x14ac:dyDescent="0.35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2"/>
    </row>
    <row r="6" spans="1:24" ht="18.600000000000001" thickBot="1" x14ac:dyDescent="0.4">
      <c r="A6" s="318" t="s">
        <v>314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1:24" ht="55.2" customHeight="1" x14ac:dyDescent="0.3">
      <c r="A7" s="116" t="s">
        <v>143</v>
      </c>
      <c r="B7" s="117" t="s">
        <v>144</v>
      </c>
      <c r="C7" s="117" t="s">
        <v>145</v>
      </c>
      <c r="D7" s="117" t="s">
        <v>146</v>
      </c>
      <c r="E7" s="117" t="s">
        <v>147</v>
      </c>
      <c r="F7" s="117" t="s">
        <v>148</v>
      </c>
      <c r="G7" s="117" t="s">
        <v>177</v>
      </c>
      <c r="H7" s="117" t="s">
        <v>174</v>
      </c>
      <c r="I7" s="117" t="s">
        <v>149</v>
      </c>
      <c r="J7" s="117" t="s">
        <v>150</v>
      </c>
      <c r="K7" s="117" t="s">
        <v>152</v>
      </c>
      <c r="L7" s="117" t="s">
        <v>186</v>
      </c>
      <c r="M7" s="117" t="s">
        <v>154</v>
      </c>
      <c r="N7" s="117" t="s">
        <v>155</v>
      </c>
      <c r="O7" s="117" t="s">
        <v>156</v>
      </c>
      <c r="P7" s="117" t="s">
        <v>157</v>
      </c>
      <c r="Q7" s="117" t="s">
        <v>158</v>
      </c>
      <c r="R7" s="117" t="s">
        <v>159</v>
      </c>
      <c r="S7" s="117" t="s">
        <v>160</v>
      </c>
      <c r="T7" s="117" t="s">
        <v>13</v>
      </c>
      <c r="U7" s="118" t="s">
        <v>161</v>
      </c>
      <c r="V7" s="129" t="s">
        <v>220</v>
      </c>
      <c r="W7" s="130" t="s">
        <v>229</v>
      </c>
      <c r="X7" s="127" t="s">
        <v>219</v>
      </c>
    </row>
    <row r="8" spans="1:24" ht="28.8" customHeight="1" x14ac:dyDescent="0.3">
      <c r="A8" s="71" t="s">
        <v>315</v>
      </c>
      <c r="B8" s="71">
        <v>2023</v>
      </c>
      <c r="C8" s="94">
        <v>1500721202</v>
      </c>
      <c r="D8" s="64" t="s">
        <v>163</v>
      </c>
      <c r="E8" s="65" t="s">
        <v>301</v>
      </c>
      <c r="F8" s="63">
        <v>1340</v>
      </c>
      <c r="G8" s="63">
        <v>30</v>
      </c>
      <c r="H8" s="72">
        <f t="shared" ref="H8:H13" si="0">ROUND(F8/30*G8,2)</f>
        <v>1340</v>
      </c>
      <c r="I8" s="72"/>
      <c r="J8" s="63"/>
      <c r="K8" s="119">
        <f t="shared" ref="K8:K13" si="1">ROUND(H8+I8+J8,2)</f>
        <v>1340</v>
      </c>
      <c r="L8" s="83">
        <f t="shared" ref="L8:L13" si="2">ROUND(H8*11.45%,2)</f>
        <v>153.43</v>
      </c>
      <c r="M8" s="83">
        <f t="shared" ref="M8:M13" si="3">ROUND(H8*11.65%,2)</f>
        <v>156.11000000000001</v>
      </c>
      <c r="N8" s="63">
        <v>51</v>
      </c>
      <c r="O8" s="63"/>
      <c r="P8" s="63"/>
      <c r="Q8" s="63"/>
      <c r="R8" s="120">
        <f t="shared" ref="R8:R13" si="4">L8+O8+P8+Q8</f>
        <v>153.43</v>
      </c>
      <c r="S8" s="240">
        <f>1340*2/7</f>
        <v>382.85714285714283</v>
      </c>
      <c r="T8" s="140">
        <f t="shared" ref="T8:T13" si="5">+K8-R8-S8</f>
        <v>803.71285714285705</v>
      </c>
      <c r="U8" s="63"/>
      <c r="V8" s="123" t="s">
        <v>207</v>
      </c>
      <c r="W8" s="126" t="s">
        <v>206</v>
      </c>
      <c r="X8">
        <v>1700511</v>
      </c>
    </row>
    <row r="9" spans="1:24" ht="28.8" customHeight="1" x14ac:dyDescent="0.3">
      <c r="A9" s="71" t="s">
        <v>315</v>
      </c>
      <c r="B9" s="71">
        <v>2023</v>
      </c>
      <c r="C9" s="95" t="s">
        <v>198</v>
      </c>
      <c r="D9" s="66" t="s">
        <v>164</v>
      </c>
      <c r="E9" s="65" t="s">
        <v>169</v>
      </c>
      <c r="F9" s="63">
        <v>536</v>
      </c>
      <c r="G9" s="63">
        <v>30</v>
      </c>
      <c r="H9" s="72">
        <f t="shared" si="0"/>
        <v>536</v>
      </c>
      <c r="I9" s="72"/>
      <c r="J9" s="63"/>
      <c r="K9" s="119">
        <f t="shared" si="1"/>
        <v>536</v>
      </c>
      <c r="L9" s="83">
        <f t="shared" si="2"/>
        <v>61.37</v>
      </c>
      <c r="M9" s="83">
        <f t="shared" si="3"/>
        <v>62.44</v>
      </c>
      <c r="N9" s="63">
        <v>51</v>
      </c>
      <c r="O9" s="248">
        <v>216</v>
      </c>
      <c r="P9" s="99"/>
      <c r="Q9" s="99"/>
      <c r="R9" s="120">
        <f t="shared" si="4"/>
        <v>277.37</v>
      </c>
      <c r="S9" s="122">
        <f>536/3</f>
        <v>178.66666666666666</v>
      </c>
      <c r="T9" s="140">
        <f t="shared" si="5"/>
        <v>79.963333333333338</v>
      </c>
      <c r="U9" s="63"/>
      <c r="V9" s="123" t="s">
        <v>211</v>
      </c>
      <c r="W9" s="126" t="s">
        <v>205</v>
      </c>
      <c r="X9">
        <v>1410036</v>
      </c>
    </row>
    <row r="10" spans="1:24" ht="28.8" customHeight="1" x14ac:dyDescent="0.3">
      <c r="A10" s="71" t="s">
        <v>315</v>
      </c>
      <c r="B10" s="71">
        <v>2023</v>
      </c>
      <c r="C10" s="95" t="s">
        <v>199</v>
      </c>
      <c r="D10" s="64" t="s">
        <v>302</v>
      </c>
      <c r="E10" s="65" t="s">
        <v>170</v>
      </c>
      <c r="F10" s="63">
        <v>536</v>
      </c>
      <c r="G10" s="63">
        <v>30</v>
      </c>
      <c r="H10" s="72">
        <f t="shared" si="0"/>
        <v>536</v>
      </c>
      <c r="I10" s="72"/>
      <c r="J10" s="63"/>
      <c r="K10" s="119">
        <f t="shared" si="1"/>
        <v>536</v>
      </c>
      <c r="L10" s="83">
        <f t="shared" si="2"/>
        <v>61.37</v>
      </c>
      <c r="M10" s="83">
        <f t="shared" si="3"/>
        <v>62.44</v>
      </c>
      <c r="N10" s="63">
        <v>51</v>
      </c>
      <c r="O10" s="63"/>
      <c r="P10" s="248">
        <v>63.5</v>
      </c>
      <c r="Q10" s="63"/>
      <c r="R10" s="120">
        <f t="shared" si="4"/>
        <v>124.87</v>
      </c>
      <c r="S10" s="103">
        <f>536*3/6</f>
        <v>268</v>
      </c>
      <c r="T10" s="140">
        <f t="shared" si="5"/>
        <v>143.13</v>
      </c>
      <c r="U10" s="63"/>
      <c r="V10" s="123" t="s">
        <v>210</v>
      </c>
      <c r="W10" s="126" t="s">
        <v>205</v>
      </c>
      <c r="X10">
        <v>1410036</v>
      </c>
    </row>
    <row r="11" spans="1:24" ht="28.8" customHeight="1" x14ac:dyDescent="0.3">
      <c r="A11" s="71" t="s">
        <v>315</v>
      </c>
      <c r="B11" s="71">
        <v>2023</v>
      </c>
      <c r="C11" s="96">
        <v>1500367295</v>
      </c>
      <c r="D11" s="64" t="s">
        <v>166</v>
      </c>
      <c r="E11" s="65" t="s">
        <v>171</v>
      </c>
      <c r="F11" s="63">
        <v>536</v>
      </c>
      <c r="G11" s="63">
        <v>30</v>
      </c>
      <c r="H11" s="72">
        <f t="shared" si="0"/>
        <v>536</v>
      </c>
      <c r="I11" s="72"/>
      <c r="J11" s="63"/>
      <c r="K11" s="119">
        <f t="shared" si="1"/>
        <v>536</v>
      </c>
      <c r="L11" s="83">
        <f t="shared" si="2"/>
        <v>61.37</v>
      </c>
      <c r="M11" s="83">
        <f t="shared" si="3"/>
        <v>62.44</v>
      </c>
      <c r="N11" s="63">
        <v>51</v>
      </c>
      <c r="O11" s="63"/>
      <c r="P11" s="248">
        <v>85</v>
      </c>
      <c r="Q11" s="63"/>
      <c r="R11" s="120">
        <f>L11+O11+P11+Q11</f>
        <v>146.37</v>
      </c>
      <c r="S11" s="103">
        <f>536*3/6</f>
        <v>268</v>
      </c>
      <c r="T11" s="140">
        <f>+K11-R11-S11</f>
        <v>121.63</v>
      </c>
      <c r="U11" s="63"/>
      <c r="V11" s="123">
        <v>4005110329</v>
      </c>
      <c r="W11" s="126" t="s">
        <v>205</v>
      </c>
      <c r="X11">
        <v>1410036</v>
      </c>
    </row>
    <row r="12" spans="1:24" ht="28.8" customHeight="1" x14ac:dyDescent="0.3">
      <c r="A12" s="71" t="s">
        <v>315</v>
      </c>
      <c r="B12" s="71">
        <v>2023</v>
      </c>
      <c r="C12" s="97">
        <v>1500814940</v>
      </c>
      <c r="D12" s="66" t="s">
        <v>167</v>
      </c>
      <c r="E12" s="65" t="s">
        <v>172</v>
      </c>
      <c r="F12" s="63">
        <v>536</v>
      </c>
      <c r="G12" s="63">
        <v>30</v>
      </c>
      <c r="H12" s="72">
        <f t="shared" si="0"/>
        <v>536</v>
      </c>
      <c r="I12" s="72"/>
      <c r="J12" s="63"/>
      <c r="K12" s="119">
        <f t="shared" si="1"/>
        <v>536</v>
      </c>
      <c r="L12" s="83">
        <f t="shared" si="2"/>
        <v>61.37</v>
      </c>
      <c r="M12" s="83">
        <f t="shared" si="3"/>
        <v>62.44</v>
      </c>
      <c r="N12" s="63">
        <v>51</v>
      </c>
      <c r="O12" s="63"/>
      <c r="P12" s="248">
        <v>242.1</v>
      </c>
      <c r="Q12" s="63"/>
      <c r="R12" s="120">
        <f t="shared" si="4"/>
        <v>303.46999999999997</v>
      </c>
      <c r="S12" s="122">
        <f>536*3/7</f>
        <v>229.71428571428572</v>
      </c>
      <c r="T12" s="140">
        <f>+K12-R12-S12</f>
        <v>2.8157142857143072</v>
      </c>
      <c r="U12" s="63"/>
      <c r="V12" s="123" t="s">
        <v>286</v>
      </c>
      <c r="W12" s="126" t="s">
        <v>209</v>
      </c>
      <c r="X12">
        <v>1600022</v>
      </c>
    </row>
    <row r="13" spans="1:24" ht="28.8" customHeight="1" x14ac:dyDescent="0.3">
      <c r="A13" s="71" t="s">
        <v>315</v>
      </c>
      <c r="B13" s="71">
        <v>2023</v>
      </c>
      <c r="C13" s="98" t="s">
        <v>200</v>
      </c>
      <c r="D13" s="67" t="s">
        <v>168</v>
      </c>
      <c r="E13" s="68" t="s">
        <v>173</v>
      </c>
      <c r="F13" s="63">
        <v>733</v>
      </c>
      <c r="G13" s="63">
        <v>30</v>
      </c>
      <c r="H13" s="72">
        <f t="shared" si="0"/>
        <v>733</v>
      </c>
      <c r="I13" s="72"/>
      <c r="J13" s="63"/>
      <c r="K13" s="119">
        <f t="shared" si="1"/>
        <v>733</v>
      </c>
      <c r="L13" s="83">
        <f t="shared" si="2"/>
        <v>83.93</v>
      </c>
      <c r="M13" s="83">
        <f t="shared" si="3"/>
        <v>85.39</v>
      </c>
      <c r="N13" s="63">
        <v>51</v>
      </c>
      <c r="O13" s="63"/>
      <c r="P13" s="63"/>
      <c r="Q13" s="63"/>
      <c r="R13" s="120">
        <f t="shared" si="4"/>
        <v>83.93</v>
      </c>
      <c r="S13" s="63"/>
      <c r="T13" s="140">
        <f t="shared" si="5"/>
        <v>649.06999999999994</v>
      </c>
      <c r="U13" s="63"/>
      <c r="V13" s="123" t="s">
        <v>208</v>
      </c>
      <c r="W13" s="126" t="s">
        <v>209</v>
      </c>
      <c r="X13">
        <v>1600022</v>
      </c>
    </row>
    <row r="14" spans="1:24" ht="28.8" customHeight="1" x14ac:dyDescent="0.3">
      <c r="A14" s="327" t="s">
        <v>185</v>
      </c>
      <c r="B14" s="328"/>
      <c r="C14" s="328"/>
      <c r="D14" s="328"/>
      <c r="E14" s="329"/>
      <c r="F14" s="149">
        <f>SUM(F8:F13)</f>
        <v>4217</v>
      </c>
      <c r="G14" s="149">
        <f t="shared" ref="G14:S14" si="6">SUM(G8:G13)</f>
        <v>180</v>
      </c>
      <c r="H14" s="149">
        <f t="shared" si="6"/>
        <v>4217</v>
      </c>
      <c r="I14" s="149">
        <f t="shared" si="6"/>
        <v>0</v>
      </c>
      <c r="J14" s="149">
        <f t="shared" si="6"/>
        <v>0</v>
      </c>
      <c r="K14" s="149">
        <f t="shared" si="6"/>
        <v>4217</v>
      </c>
      <c r="L14" s="149">
        <f t="shared" si="6"/>
        <v>482.84000000000003</v>
      </c>
      <c r="M14" s="149">
        <f t="shared" si="6"/>
        <v>491.26</v>
      </c>
      <c r="N14" s="149">
        <f t="shared" si="6"/>
        <v>306</v>
      </c>
      <c r="O14" s="149">
        <f t="shared" si="6"/>
        <v>216</v>
      </c>
      <c r="P14" s="149">
        <f t="shared" si="6"/>
        <v>390.6</v>
      </c>
      <c r="Q14" s="149">
        <f t="shared" si="6"/>
        <v>0</v>
      </c>
      <c r="R14" s="150">
        <f t="shared" si="6"/>
        <v>1089.44</v>
      </c>
      <c r="S14" s="149">
        <f t="shared" si="6"/>
        <v>1327.2380952380954</v>
      </c>
      <c r="T14" s="155">
        <f>SUM(T8:T13)</f>
        <v>1800.3219047619048</v>
      </c>
      <c r="U14" s="93"/>
    </row>
    <row r="15" spans="1:24" x14ac:dyDescent="0.3">
      <c r="A15" s="69"/>
      <c r="B15" s="69"/>
      <c r="C15" s="80"/>
      <c r="D15" s="81"/>
      <c r="E15" s="82"/>
      <c r="F15" s="2"/>
      <c r="G15" s="2"/>
      <c r="H15" s="70"/>
      <c r="I15" s="2"/>
      <c r="J15" s="2"/>
      <c r="K15" s="2"/>
      <c r="L15" s="159">
        <f>H12*11.45%</f>
        <v>61.371999999999993</v>
      </c>
      <c r="M15" s="2"/>
      <c r="N15" s="2"/>
      <c r="O15" s="2"/>
      <c r="P15" s="2"/>
      <c r="Q15" s="2"/>
      <c r="R15" s="2"/>
      <c r="S15" s="2"/>
      <c r="T15" s="2"/>
      <c r="U15" s="2"/>
      <c r="W15" s="148">
        <f>T14+T38+T63</f>
        <v>6961.5060714285719</v>
      </c>
    </row>
    <row r="16" spans="1:24" x14ac:dyDescent="0.3">
      <c r="A16" s="69"/>
      <c r="B16" s="69"/>
      <c r="C16" s="80"/>
      <c r="D16" s="81"/>
      <c r="E16" s="330" t="s">
        <v>28</v>
      </c>
      <c r="F16" s="330"/>
      <c r="G16" s="330"/>
      <c r="H16" s="84"/>
      <c r="I16" s="85"/>
      <c r="J16" s="85"/>
      <c r="K16" s="86"/>
      <c r="L16" s="330" t="s">
        <v>187</v>
      </c>
      <c r="M16" s="330"/>
      <c r="N16" s="330"/>
      <c r="O16" s="330"/>
      <c r="P16" s="330"/>
      <c r="Q16" s="330"/>
      <c r="R16" s="2"/>
      <c r="S16" s="2"/>
      <c r="T16" s="2"/>
      <c r="U16" s="2"/>
    </row>
    <row r="17" spans="1:24" x14ac:dyDescent="0.3">
      <c r="A17" s="69"/>
      <c r="B17" s="69"/>
      <c r="C17" s="80"/>
      <c r="D17" s="81"/>
      <c r="E17" s="244"/>
      <c r="F17" s="244"/>
      <c r="G17" s="244"/>
      <c r="H17" s="84"/>
      <c r="I17" s="85"/>
      <c r="J17" s="85"/>
      <c r="K17" s="86"/>
      <c r="L17" s="244"/>
      <c r="M17" s="244"/>
      <c r="N17" s="244"/>
      <c r="O17" s="244"/>
      <c r="P17" s="244"/>
      <c r="Q17" s="244"/>
      <c r="R17" s="2"/>
      <c r="S17" s="2"/>
      <c r="T17" s="2"/>
      <c r="U17" s="2"/>
      <c r="W17" s="247">
        <f>SUM(T14+T38+T60+T62)</f>
        <v>5877.6900714285712</v>
      </c>
    </row>
    <row r="18" spans="1:24" x14ac:dyDescent="0.3">
      <c r="E18" s="145"/>
      <c r="F18" s="146"/>
      <c r="G18" s="145"/>
      <c r="H18" s="146"/>
      <c r="I18" s="85"/>
      <c r="J18" s="85"/>
      <c r="K18" s="88"/>
      <c r="L18" s="88"/>
      <c r="M18" s="88"/>
      <c r="N18" s="88"/>
      <c r="O18" s="88"/>
      <c r="P18" s="89"/>
      <c r="Q18" s="89"/>
    </row>
    <row r="19" spans="1:24" x14ac:dyDescent="0.3">
      <c r="E19" s="317" t="s">
        <v>188</v>
      </c>
      <c r="F19" s="317"/>
      <c r="G19" s="317"/>
      <c r="H19" s="317"/>
      <c r="I19" s="85"/>
      <c r="J19" s="85"/>
      <c r="K19" s="88"/>
      <c r="L19" s="331" t="s">
        <v>189</v>
      </c>
      <c r="M19" s="331"/>
      <c r="N19" s="331"/>
      <c r="O19" s="331"/>
      <c r="P19" s="331"/>
      <c r="Q19" s="331"/>
    </row>
    <row r="20" spans="1:24" x14ac:dyDescent="0.3">
      <c r="E20" s="316" t="s">
        <v>238</v>
      </c>
      <c r="F20" s="316"/>
      <c r="G20" s="316"/>
      <c r="H20" s="316"/>
      <c r="L20" s="316" t="s">
        <v>237</v>
      </c>
      <c r="M20" s="316"/>
      <c r="N20" s="316"/>
      <c r="O20" s="316"/>
      <c r="P20" s="316"/>
      <c r="Q20" s="316"/>
    </row>
    <row r="21" spans="1:24" ht="16.2" thickBot="1" x14ac:dyDescent="0.35">
      <c r="E21" s="246"/>
      <c r="F21" s="246"/>
      <c r="G21" s="246"/>
      <c r="H21" s="84"/>
      <c r="I21" s="85"/>
      <c r="J21" s="85"/>
      <c r="K21" s="88"/>
      <c r="L21" s="246"/>
      <c r="M21" s="246"/>
      <c r="N21" s="246"/>
      <c r="O21" s="246"/>
      <c r="P21" s="246"/>
      <c r="Q21" s="246"/>
    </row>
    <row r="22" spans="1:24" ht="25.2" customHeight="1" x14ac:dyDescent="0.3">
      <c r="A22" s="294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6"/>
    </row>
    <row r="23" spans="1:24" x14ac:dyDescent="0.3">
      <c r="A23" s="307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9"/>
    </row>
    <row r="24" spans="1:24" x14ac:dyDescent="0.3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9"/>
    </row>
    <row r="25" spans="1:24" x14ac:dyDescent="0.3">
      <c r="A25" s="307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9"/>
    </row>
    <row r="26" spans="1:24" ht="16.2" thickBot="1" x14ac:dyDescent="0.35">
      <c r="A26" s="307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9"/>
    </row>
    <row r="27" spans="1:24" ht="18.600000000000001" thickBot="1" x14ac:dyDescent="0.4">
      <c r="A27" s="321" t="s">
        <v>317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3"/>
    </row>
    <row r="28" spans="1:24" ht="57.6" x14ac:dyDescent="0.3">
      <c r="A28" s="108" t="s">
        <v>143</v>
      </c>
      <c r="B28" s="109" t="s">
        <v>144</v>
      </c>
      <c r="C28" s="109" t="s">
        <v>145</v>
      </c>
      <c r="D28" s="109" t="s">
        <v>146</v>
      </c>
      <c r="E28" s="109" t="s">
        <v>147</v>
      </c>
      <c r="F28" s="109" t="s">
        <v>148</v>
      </c>
      <c r="G28" s="109" t="s">
        <v>151</v>
      </c>
      <c r="H28" s="109" t="s">
        <v>174</v>
      </c>
      <c r="I28" s="109" t="s">
        <v>149</v>
      </c>
      <c r="J28" s="109" t="s">
        <v>150</v>
      </c>
      <c r="K28" s="109" t="s">
        <v>152</v>
      </c>
      <c r="L28" s="109" t="s">
        <v>153</v>
      </c>
      <c r="M28" s="109" t="s">
        <v>197</v>
      </c>
      <c r="N28" s="109" t="s">
        <v>155</v>
      </c>
      <c r="O28" s="109" t="s">
        <v>305</v>
      </c>
      <c r="P28" s="109" t="s">
        <v>157</v>
      </c>
      <c r="Q28" s="109" t="s">
        <v>158</v>
      </c>
      <c r="R28" s="109" t="s">
        <v>159</v>
      </c>
      <c r="S28" s="109" t="s">
        <v>160</v>
      </c>
      <c r="T28" s="109" t="s">
        <v>13</v>
      </c>
      <c r="U28" s="115" t="s">
        <v>161</v>
      </c>
      <c r="V28" s="131" t="s">
        <v>220</v>
      </c>
      <c r="W28" s="132" t="s">
        <v>229</v>
      </c>
      <c r="X28" s="133" t="s">
        <v>219</v>
      </c>
    </row>
    <row r="29" spans="1:24" ht="31.2" customHeight="1" x14ac:dyDescent="0.3">
      <c r="A29" s="220" t="s">
        <v>315</v>
      </c>
      <c r="B29" s="220">
        <v>2023</v>
      </c>
      <c r="C29" s="223" t="s">
        <v>179</v>
      </c>
      <c r="D29" s="223" t="s">
        <v>178</v>
      </c>
      <c r="E29" s="223" t="s">
        <v>183</v>
      </c>
      <c r="F29" s="225">
        <v>553</v>
      </c>
      <c r="G29" s="220">
        <v>30</v>
      </c>
      <c r="H29" s="226">
        <f>ROUND(F29/30*G29,2)</f>
        <v>553</v>
      </c>
      <c r="I29" s="220"/>
      <c r="J29" s="220"/>
      <c r="K29" s="227">
        <f>ROUND(H29+I29+J29,2)</f>
        <v>553</v>
      </c>
      <c r="L29" s="226">
        <f>F29*9.45%</f>
        <v>52.258499999999991</v>
      </c>
      <c r="M29" s="226">
        <f>F29*12.15%</f>
        <v>67.189499999999995</v>
      </c>
      <c r="N29" s="220">
        <v>71</v>
      </c>
      <c r="O29" s="250">
        <v>225</v>
      </c>
      <c r="P29" s="220"/>
      <c r="Q29" s="220"/>
      <c r="R29" s="226">
        <f t="shared" ref="R29:R37" si="7">L29+O29+P29+Q29</f>
        <v>277.25849999999997</v>
      </c>
      <c r="S29" s="228"/>
      <c r="T29" s="229">
        <f t="shared" ref="T29:T37" si="8">K29-R29-S29</f>
        <v>275.74150000000003</v>
      </c>
      <c r="U29" s="230"/>
      <c r="V29" s="123" t="s">
        <v>254</v>
      </c>
      <c r="W29" s="123" t="s">
        <v>209</v>
      </c>
      <c r="X29" s="231">
        <v>1600022</v>
      </c>
    </row>
    <row r="30" spans="1:24" ht="31.2" customHeight="1" x14ac:dyDescent="0.3">
      <c r="A30" s="220" t="s">
        <v>315</v>
      </c>
      <c r="B30" s="220">
        <v>2023</v>
      </c>
      <c r="C30" s="223" t="s">
        <v>77</v>
      </c>
      <c r="D30" s="223" t="s">
        <v>73</v>
      </c>
      <c r="E30" s="223" t="s">
        <v>74</v>
      </c>
      <c r="F30" s="225">
        <v>708</v>
      </c>
      <c r="G30" s="220">
        <v>30</v>
      </c>
      <c r="H30" s="226">
        <f t="shared" ref="H30:H37" si="9">ROUND(F30/30*G30,2)</f>
        <v>708</v>
      </c>
      <c r="I30" s="220"/>
      <c r="J30" s="220"/>
      <c r="K30" s="232">
        <f t="shared" ref="K30:K35" si="10">ROUND(H30+I30+J30,2)</f>
        <v>708</v>
      </c>
      <c r="L30" s="226">
        <f t="shared" ref="L30:L36" si="11">F30*9.45%</f>
        <v>66.905999999999992</v>
      </c>
      <c r="M30" s="226">
        <f t="shared" ref="M30:M37" si="12">F30*12.15%</f>
        <v>86.021999999999991</v>
      </c>
      <c r="N30" s="220">
        <v>71</v>
      </c>
      <c r="O30" s="228"/>
      <c r="P30" s="228"/>
      <c r="Q30" s="228"/>
      <c r="R30" s="226">
        <f t="shared" si="7"/>
        <v>66.905999999999992</v>
      </c>
      <c r="S30" s="243">
        <f>1416/9</f>
        <v>157.33333333333334</v>
      </c>
      <c r="T30" s="229">
        <f t="shared" si="8"/>
        <v>483.76066666666668</v>
      </c>
      <c r="U30" s="230"/>
      <c r="V30" s="123" t="s">
        <v>221</v>
      </c>
      <c r="W30" s="123" t="s">
        <v>205</v>
      </c>
      <c r="X30" s="231">
        <v>1410036</v>
      </c>
    </row>
    <row r="31" spans="1:24" ht="36.6" customHeight="1" x14ac:dyDescent="0.3">
      <c r="A31" s="220" t="s">
        <v>315</v>
      </c>
      <c r="B31" s="220">
        <v>2023</v>
      </c>
      <c r="C31" s="223" t="s">
        <v>79</v>
      </c>
      <c r="D31" s="223" t="s">
        <v>78</v>
      </c>
      <c r="E31" s="223" t="s">
        <v>184</v>
      </c>
      <c r="F31" s="225">
        <v>566</v>
      </c>
      <c r="G31" s="220">
        <v>30</v>
      </c>
      <c r="H31" s="226">
        <f t="shared" si="9"/>
        <v>566</v>
      </c>
      <c r="I31" s="220"/>
      <c r="J31" s="220"/>
      <c r="K31" s="232">
        <f t="shared" si="10"/>
        <v>566</v>
      </c>
      <c r="L31" s="226">
        <f t="shared" si="11"/>
        <v>53.486999999999995</v>
      </c>
      <c r="M31" s="226">
        <f t="shared" si="12"/>
        <v>68.768999999999991</v>
      </c>
      <c r="N31" s="220">
        <v>71</v>
      </c>
      <c r="O31" s="251">
        <v>37.96</v>
      </c>
      <c r="P31" s="228"/>
      <c r="Q31" s="228"/>
      <c r="R31" s="226">
        <f t="shared" si="7"/>
        <v>91.447000000000003</v>
      </c>
      <c r="S31" s="239">
        <f>1698/6</f>
        <v>283</v>
      </c>
      <c r="T31" s="229">
        <f t="shared" si="8"/>
        <v>191.553</v>
      </c>
      <c r="U31" s="230"/>
      <c r="V31" s="123" t="s">
        <v>228</v>
      </c>
      <c r="W31" s="123" t="s">
        <v>209</v>
      </c>
      <c r="X31" s="231">
        <v>1600022</v>
      </c>
    </row>
    <row r="32" spans="1:24" ht="31.2" customHeight="1" x14ac:dyDescent="0.3">
      <c r="A32" s="220" t="s">
        <v>315</v>
      </c>
      <c r="B32" s="220">
        <v>2023</v>
      </c>
      <c r="C32" s="223" t="s">
        <v>180</v>
      </c>
      <c r="D32" s="223" t="s">
        <v>69</v>
      </c>
      <c r="E32" s="223" t="s">
        <v>66</v>
      </c>
      <c r="F32" s="225">
        <v>584</v>
      </c>
      <c r="G32" s="220">
        <v>30</v>
      </c>
      <c r="H32" s="226">
        <f t="shared" si="9"/>
        <v>584</v>
      </c>
      <c r="I32" s="220"/>
      <c r="J32" s="220"/>
      <c r="K32" s="232">
        <f t="shared" si="10"/>
        <v>584</v>
      </c>
      <c r="L32" s="226">
        <f t="shared" si="11"/>
        <v>55.187999999999995</v>
      </c>
      <c r="M32" s="226">
        <f t="shared" si="12"/>
        <v>70.956000000000003</v>
      </c>
      <c r="N32" s="220">
        <v>71</v>
      </c>
      <c r="O32" s="250">
        <v>63.85</v>
      </c>
      <c r="P32" s="228"/>
      <c r="Q32" s="250">
        <v>66.400000000000006</v>
      </c>
      <c r="R32" s="226">
        <f t="shared" si="7"/>
        <v>185.43799999999999</v>
      </c>
      <c r="S32" s="239">
        <f>1752/6</f>
        <v>292</v>
      </c>
      <c r="T32" s="229">
        <f t="shared" si="8"/>
        <v>106.56200000000001</v>
      </c>
      <c r="U32" s="230"/>
      <c r="V32" s="123" t="s">
        <v>222</v>
      </c>
      <c r="W32" s="123" t="s">
        <v>209</v>
      </c>
      <c r="X32" s="231">
        <v>1600022</v>
      </c>
    </row>
    <row r="33" spans="1:25" ht="31.2" customHeight="1" x14ac:dyDescent="0.3">
      <c r="A33" s="220" t="s">
        <v>315</v>
      </c>
      <c r="B33" s="220">
        <v>2023</v>
      </c>
      <c r="C33" s="223" t="s">
        <v>89</v>
      </c>
      <c r="D33" s="223" t="s">
        <v>88</v>
      </c>
      <c r="E33" s="223" t="s">
        <v>90</v>
      </c>
      <c r="F33" s="225">
        <v>527</v>
      </c>
      <c r="G33" s="220">
        <v>30</v>
      </c>
      <c r="H33" s="226">
        <f t="shared" si="9"/>
        <v>527</v>
      </c>
      <c r="I33" s="220"/>
      <c r="J33" s="220"/>
      <c r="K33" s="232">
        <f>ROUND(H33+I33+J33,2)</f>
        <v>527</v>
      </c>
      <c r="L33" s="226">
        <f t="shared" si="11"/>
        <v>49.80149999999999</v>
      </c>
      <c r="M33" s="226">
        <f t="shared" si="12"/>
        <v>64.030500000000004</v>
      </c>
      <c r="N33" s="220">
        <v>71</v>
      </c>
      <c r="O33" s="228"/>
      <c r="P33" s="228"/>
      <c r="Q33" s="228"/>
      <c r="R33" s="226">
        <f t="shared" si="7"/>
        <v>49.80149999999999</v>
      </c>
      <c r="S33" s="252"/>
      <c r="T33" s="229">
        <f t="shared" si="8"/>
        <v>477.19850000000002</v>
      </c>
      <c r="U33" s="230"/>
      <c r="V33" s="123" t="s">
        <v>218</v>
      </c>
      <c r="W33" s="123" t="s">
        <v>205</v>
      </c>
      <c r="X33" s="231">
        <v>1410036</v>
      </c>
    </row>
    <row r="34" spans="1:25" ht="31.2" customHeight="1" x14ac:dyDescent="0.3">
      <c r="A34" s="220" t="s">
        <v>315</v>
      </c>
      <c r="B34" s="220">
        <v>2023</v>
      </c>
      <c r="C34" s="223" t="s">
        <v>181</v>
      </c>
      <c r="D34" s="223" t="s">
        <v>95</v>
      </c>
      <c r="E34" s="223" t="s">
        <v>87</v>
      </c>
      <c r="F34" s="225">
        <v>500</v>
      </c>
      <c r="G34" s="220">
        <v>30</v>
      </c>
      <c r="H34" s="226">
        <f t="shared" si="9"/>
        <v>500</v>
      </c>
      <c r="I34" s="220"/>
      <c r="J34" s="220"/>
      <c r="K34" s="232">
        <f t="shared" si="10"/>
        <v>500</v>
      </c>
      <c r="L34" s="226">
        <f t="shared" si="11"/>
        <v>47.249999999999993</v>
      </c>
      <c r="M34" s="226">
        <f t="shared" si="12"/>
        <v>60.75</v>
      </c>
      <c r="N34" s="220">
        <v>71</v>
      </c>
      <c r="O34" s="250">
        <v>26.77</v>
      </c>
      <c r="P34" s="228"/>
      <c r="Q34" s="228"/>
      <c r="R34" s="226">
        <f t="shared" si="7"/>
        <v>74.02</v>
      </c>
      <c r="S34" s="239">
        <v>250</v>
      </c>
      <c r="T34" s="229">
        <f t="shared" si="8"/>
        <v>175.98000000000002</v>
      </c>
      <c r="U34" s="230"/>
      <c r="V34" s="123" t="s">
        <v>216</v>
      </c>
      <c r="W34" s="123" t="s">
        <v>217</v>
      </c>
      <c r="X34" s="231">
        <v>1700427</v>
      </c>
    </row>
    <row r="35" spans="1:25" ht="31.2" customHeight="1" x14ac:dyDescent="0.3">
      <c r="A35" s="220" t="s">
        <v>315</v>
      </c>
      <c r="B35" s="220">
        <v>2023</v>
      </c>
      <c r="C35" s="223" t="s">
        <v>182</v>
      </c>
      <c r="D35" s="223" t="s">
        <v>65</v>
      </c>
      <c r="E35" s="223" t="s">
        <v>66</v>
      </c>
      <c r="F35" s="219">
        <v>614</v>
      </c>
      <c r="G35" s="220">
        <v>30</v>
      </c>
      <c r="H35" s="226">
        <f t="shared" si="9"/>
        <v>614</v>
      </c>
      <c r="I35" s="233"/>
      <c r="J35" s="233"/>
      <c r="K35" s="232">
        <f t="shared" si="10"/>
        <v>614</v>
      </c>
      <c r="L35" s="226">
        <f t="shared" si="11"/>
        <v>58.022999999999989</v>
      </c>
      <c r="M35" s="226">
        <f t="shared" si="12"/>
        <v>74.600999999999999</v>
      </c>
      <c r="N35" s="233">
        <v>71</v>
      </c>
      <c r="O35" s="233"/>
      <c r="P35" s="233"/>
      <c r="Q35" s="233"/>
      <c r="R35" s="234">
        <f t="shared" si="7"/>
        <v>58.022999999999989</v>
      </c>
      <c r="S35" s="238">
        <f>1698/10</f>
        <v>169.8</v>
      </c>
      <c r="T35" s="229">
        <f t="shared" si="8"/>
        <v>386.17699999999996</v>
      </c>
      <c r="U35" s="230"/>
      <c r="V35" s="123" t="s">
        <v>223</v>
      </c>
      <c r="W35" s="123" t="s">
        <v>224</v>
      </c>
      <c r="X35" s="231">
        <v>1700027</v>
      </c>
    </row>
    <row r="36" spans="1:25" ht="31.2" customHeight="1" x14ac:dyDescent="0.3">
      <c r="A36" s="220" t="s">
        <v>315</v>
      </c>
      <c r="B36" s="220">
        <v>2023</v>
      </c>
      <c r="C36" s="236" t="s">
        <v>290</v>
      </c>
      <c r="D36" s="223" t="s">
        <v>291</v>
      </c>
      <c r="E36" s="223" t="s">
        <v>292</v>
      </c>
      <c r="F36" s="237">
        <v>708</v>
      </c>
      <c r="G36" s="220">
        <v>30</v>
      </c>
      <c r="H36" s="226">
        <f t="shared" si="9"/>
        <v>708</v>
      </c>
      <c r="I36" s="233"/>
      <c r="J36" s="233"/>
      <c r="K36" s="232">
        <f>ROUND(H36+I36+J36,2)</f>
        <v>708</v>
      </c>
      <c r="L36" s="226">
        <f t="shared" si="11"/>
        <v>66.905999999999992</v>
      </c>
      <c r="M36" s="226">
        <f t="shared" si="12"/>
        <v>86.021999999999991</v>
      </c>
      <c r="N36" s="233">
        <v>71</v>
      </c>
      <c r="O36" s="233"/>
      <c r="P36" s="233"/>
      <c r="Q36" s="233"/>
      <c r="R36" s="234">
        <f t="shared" si="7"/>
        <v>66.905999999999992</v>
      </c>
      <c r="S36" s="253"/>
      <c r="T36" s="229">
        <f t="shared" si="8"/>
        <v>641.09400000000005</v>
      </c>
      <c r="U36" s="230"/>
      <c r="V36" s="123" t="s">
        <v>293</v>
      </c>
      <c r="W36" s="123" t="s">
        <v>209</v>
      </c>
      <c r="X36" s="231">
        <v>1600022</v>
      </c>
    </row>
    <row r="37" spans="1:25" ht="31.2" customHeight="1" x14ac:dyDescent="0.3">
      <c r="A37" s="220" t="s">
        <v>315</v>
      </c>
      <c r="B37" s="222">
        <v>2023</v>
      </c>
      <c r="C37" s="223">
        <v>2100854088</v>
      </c>
      <c r="D37" s="224" t="s">
        <v>312</v>
      </c>
      <c r="E37" s="224" t="s">
        <v>66</v>
      </c>
      <c r="F37" s="221">
        <v>566</v>
      </c>
      <c r="G37" s="222">
        <v>30</v>
      </c>
      <c r="H37" s="226">
        <f t="shared" si="9"/>
        <v>566</v>
      </c>
      <c r="I37" s="233"/>
      <c r="J37" s="233"/>
      <c r="K37" s="232">
        <f>ROUND(H37+I37+J37,2)</f>
        <v>566</v>
      </c>
      <c r="L37" s="226">
        <f>F37*9.45%</f>
        <v>53.486999999999995</v>
      </c>
      <c r="M37" s="226">
        <f t="shared" si="12"/>
        <v>68.768999999999991</v>
      </c>
      <c r="N37" s="233">
        <v>71</v>
      </c>
      <c r="O37" s="233"/>
      <c r="P37" s="249">
        <v>130</v>
      </c>
      <c r="Q37" s="233"/>
      <c r="R37" s="234">
        <f t="shared" si="7"/>
        <v>183.48699999999999</v>
      </c>
      <c r="S37" s="253"/>
      <c r="T37" s="229">
        <f t="shared" si="8"/>
        <v>382.51300000000003</v>
      </c>
      <c r="U37" s="230"/>
      <c r="V37" s="123" t="s">
        <v>313</v>
      </c>
      <c r="W37" s="123" t="s">
        <v>209</v>
      </c>
      <c r="X37" s="231">
        <v>1600022</v>
      </c>
    </row>
    <row r="38" spans="1:25" x14ac:dyDescent="0.3">
      <c r="A38" s="327" t="s">
        <v>185</v>
      </c>
      <c r="B38" s="328"/>
      <c r="C38" s="328"/>
      <c r="D38" s="328"/>
      <c r="E38" s="329"/>
      <c r="F38" s="151">
        <f>SUM(F29:F35)</f>
        <v>4052</v>
      </c>
      <c r="G38" s="151">
        <f t="shared" ref="G38:S38" si="13">SUM(G29:G35)</f>
        <v>210</v>
      </c>
      <c r="H38" s="151">
        <f t="shared" si="13"/>
        <v>4052</v>
      </c>
      <c r="I38" s="151">
        <f t="shared" si="13"/>
        <v>0</v>
      </c>
      <c r="J38" s="151">
        <f t="shared" si="13"/>
        <v>0</v>
      </c>
      <c r="K38" s="151">
        <f t="shared" si="13"/>
        <v>4052</v>
      </c>
      <c r="L38" s="151">
        <f t="shared" si="13"/>
        <v>382.91399999999993</v>
      </c>
      <c r="M38" s="151">
        <f t="shared" si="13"/>
        <v>492.31800000000004</v>
      </c>
      <c r="N38" s="151"/>
      <c r="O38" s="151">
        <f t="shared" si="13"/>
        <v>353.58</v>
      </c>
      <c r="P38" s="151">
        <f t="shared" si="13"/>
        <v>0</v>
      </c>
      <c r="Q38" s="151">
        <f t="shared" si="13"/>
        <v>66.400000000000006</v>
      </c>
      <c r="R38" s="151">
        <f t="shared" si="13"/>
        <v>802.89400000000001</v>
      </c>
      <c r="S38" s="151">
        <f t="shared" si="13"/>
        <v>1152.1333333333334</v>
      </c>
      <c r="T38" s="156">
        <f>SUM(T29:T37)</f>
        <v>3120.5796666666665</v>
      </c>
      <c r="U38" s="79"/>
    </row>
    <row r="41" spans="1:25" x14ac:dyDescent="0.3">
      <c r="C41">
        <f>225.86*4</f>
        <v>903.44</v>
      </c>
      <c r="E41" s="330" t="s">
        <v>28</v>
      </c>
      <c r="F41" s="330"/>
      <c r="G41" s="330"/>
      <c r="H41" s="84"/>
      <c r="I41" s="85"/>
      <c r="J41" s="85"/>
      <c r="K41" s="86"/>
      <c r="L41" s="330" t="s">
        <v>187</v>
      </c>
      <c r="M41" s="330"/>
      <c r="N41" s="330"/>
      <c r="O41" s="330"/>
      <c r="P41" s="330"/>
      <c r="Q41" s="330"/>
    </row>
    <row r="42" spans="1:25" x14ac:dyDescent="0.3">
      <c r="E42" s="244"/>
      <c r="F42" s="244"/>
      <c r="G42" s="244"/>
      <c r="H42" s="84"/>
      <c r="I42" s="85"/>
      <c r="J42" s="85"/>
      <c r="K42" s="86"/>
      <c r="L42" s="244"/>
      <c r="M42" s="244"/>
      <c r="N42" s="244"/>
      <c r="O42" s="244"/>
      <c r="P42" s="244"/>
      <c r="Q42" s="244"/>
    </row>
    <row r="43" spans="1:25" x14ac:dyDescent="0.3">
      <c r="E43" s="145"/>
      <c r="F43" s="146"/>
      <c r="G43" s="145"/>
      <c r="H43" s="146"/>
      <c r="I43" s="85"/>
      <c r="J43" s="85"/>
      <c r="K43" s="88"/>
      <c r="L43" s="88"/>
      <c r="M43" s="88"/>
      <c r="N43" s="88"/>
      <c r="O43" s="88"/>
      <c r="P43" s="89"/>
      <c r="Q43" s="89"/>
    </row>
    <row r="44" spans="1:25" x14ac:dyDescent="0.3">
      <c r="E44" s="317" t="s">
        <v>188</v>
      </c>
      <c r="F44" s="317"/>
      <c r="G44" s="317"/>
      <c r="H44" s="317"/>
      <c r="I44" s="85"/>
      <c r="J44" s="85"/>
      <c r="K44" s="88"/>
      <c r="L44" s="331" t="s">
        <v>189</v>
      </c>
      <c r="M44" s="331"/>
      <c r="N44" s="331"/>
      <c r="O44" s="331"/>
      <c r="P44" s="331"/>
      <c r="Q44" s="331"/>
    </row>
    <row r="45" spans="1:25" x14ac:dyDescent="0.3">
      <c r="E45" s="316" t="s">
        <v>238</v>
      </c>
      <c r="F45" s="316"/>
      <c r="G45" s="316"/>
      <c r="H45" s="316"/>
      <c r="L45" s="316" t="s">
        <v>237</v>
      </c>
      <c r="M45" s="316"/>
      <c r="N45" s="316"/>
      <c r="O45" s="316"/>
      <c r="P45" s="316"/>
      <c r="Q45" s="316"/>
    </row>
    <row r="48" spans="1:25" x14ac:dyDescent="0.3">
      <c r="W48" s="126" t="s">
        <v>326</v>
      </c>
      <c r="X48" s="283">
        <v>0.12</v>
      </c>
      <c r="Y48" s="126">
        <f>W48*X48</f>
        <v>1711.71</v>
      </c>
    </row>
    <row r="52" spans="1:24" ht="15.6" customHeight="1" thickBot="1" x14ac:dyDescent="0.35"/>
    <row r="53" spans="1:24" ht="15.6" customHeight="1" x14ac:dyDescent="0.3">
      <c r="A53" s="294"/>
      <c r="B53" s="295"/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6"/>
    </row>
    <row r="54" spans="1:24" ht="15.6" customHeight="1" x14ac:dyDescent="0.3">
      <c r="A54" s="307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9"/>
    </row>
    <row r="55" spans="1:24" ht="15.6" customHeight="1" x14ac:dyDescent="0.3">
      <c r="A55" s="307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9"/>
    </row>
    <row r="56" spans="1:24" ht="15.6" customHeight="1" x14ac:dyDescent="0.3">
      <c r="A56" s="307"/>
      <c r="B56" s="308"/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8"/>
      <c r="P56" s="308"/>
      <c r="Q56" s="308"/>
      <c r="R56" s="308"/>
      <c r="S56" s="308"/>
      <c r="T56" s="308"/>
      <c r="U56" s="309"/>
    </row>
    <row r="57" spans="1:24" ht="15.6" customHeight="1" thickBot="1" x14ac:dyDescent="0.35">
      <c r="A57" s="307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9"/>
    </row>
    <row r="58" spans="1:24" ht="16.2" customHeight="1" thickBot="1" x14ac:dyDescent="0.35">
      <c r="A58" s="324" t="s">
        <v>316</v>
      </c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6"/>
    </row>
    <row r="59" spans="1:24" ht="38.4" customHeight="1" x14ac:dyDescent="0.3">
      <c r="A59" s="104" t="s">
        <v>143</v>
      </c>
      <c r="B59" s="105" t="s">
        <v>144</v>
      </c>
      <c r="C59" s="105" t="s">
        <v>145</v>
      </c>
      <c r="D59" s="105" t="s">
        <v>146</v>
      </c>
      <c r="E59" s="105" t="s">
        <v>147</v>
      </c>
      <c r="F59" s="105" t="s">
        <v>148</v>
      </c>
      <c r="G59" s="105" t="s">
        <v>151</v>
      </c>
      <c r="H59" s="105" t="s">
        <v>174</v>
      </c>
      <c r="I59" s="105" t="s">
        <v>149</v>
      </c>
      <c r="J59" s="105" t="s">
        <v>150</v>
      </c>
      <c r="K59" s="105" t="s">
        <v>152</v>
      </c>
      <c r="L59" s="105" t="s">
        <v>186</v>
      </c>
      <c r="M59" s="105" t="s">
        <v>154</v>
      </c>
      <c r="N59" s="105" t="s">
        <v>155</v>
      </c>
      <c r="O59" s="105" t="s">
        <v>156</v>
      </c>
      <c r="P59" s="105" t="s">
        <v>157</v>
      </c>
      <c r="Q59" s="105" t="s">
        <v>158</v>
      </c>
      <c r="R59" s="105" t="s">
        <v>159</v>
      </c>
      <c r="S59" s="105" t="s">
        <v>160</v>
      </c>
      <c r="T59" s="105" t="s">
        <v>13</v>
      </c>
      <c r="U59" s="106" t="s">
        <v>161</v>
      </c>
      <c r="V59" s="129" t="s">
        <v>220</v>
      </c>
      <c r="W59" s="130" t="s">
        <v>229</v>
      </c>
      <c r="X59" s="127" t="s">
        <v>219</v>
      </c>
    </row>
    <row r="60" spans="1:24" ht="31.2" customHeight="1" x14ac:dyDescent="0.3">
      <c r="A60" s="71" t="s">
        <v>315</v>
      </c>
      <c r="B60" s="71">
        <v>2023</v>
      </c>
      <c r="C60" s="73">
        <v>2200446587</v>
      </c>
      <c r="D60" s="223" t="s">
        <v>190</v>
      </c>
      <c r="E60" s="73" t="s">
        <v>308</v>
      </c>
      <c r="F60" s="91">
        <v>527</v>
      </c>
      <c r="G60" s="63">
        <v>30</v>
      </c>
      <c r="H60" s="72">
        <f>F60</f>
        <v>527</v>
      </c>
      <c r="I60" s="92">
        <f>H60/12</f>
        <v>43.916666666666664</v>
      </c>
      <c r="J60" s="72">
        <f>450/12</f>
        <v>37.5</v>
      </c>
      <c r="K60" s="119">
        <f>ROUND(H60+I60+J60,2)</f>
        <v>608.41999999999996</v>
      </c>
      <c r="L60" s="92">
        <f>H60*11.45%</f>
        <v>60.341499999999996</v>
      </c>
      <c r="M60" s="92">
        <f>F60*11.65%</f>
        <v>61.395500000000006</v>
      </c>
      <c r="N60" s="63">
        <v>71</v>
      </c>
      <c r="O60" s="63"/>
      <c r="P60" s="63"/>
      <c r="Q60" s="63"/>
      <c r="R60" s="119">
        <f>L60+O60+P60+Q60</f>
        <v>60.341499999999996</v>
      </c>
      <c r="S60" s="63">
        <v>34.04</v>
      </c>
      <c r="T60" s="140">
        <f>K60-R60-S60</f>
        <v>514.0385</v>
      </c>
      <c r="U60" s="63"/>
      <c r="V60" s="123" t="s">
        <v>230</v>
      </c>
      <c r="W60" s="126" t="s">
        <v>209</v>
      </c>
      <c r="X60">
        <v>1600022</v>
      </c>
    </row>
    <row r="61" spans="1:24" ht="31.2" customHeight="1" x14ac:dyDescent="0.3">
      <c r="A61" s="71" t="s">
        <v>315</v>
      </c>
      <c r="B61" s="71">
        <v>2023</v>
      </c>
      <c r="C61" s="142" t="s">
        <v>235</v>
      </c>
      <c r="D61" s="223" t="s">
        <v>195</v>
      </c>
      <c r="E61" s="73" t="s">
        <v>196</v>
      </c>
      <c r="F61" s="91">
        <v>1212</v>
      </c>
      <c r="G61" s="63">
        <v>30</v>
      </c>
      <c r="H61" s="72">
        <f>F61</f>
        <v>1212</v>
      </c>
      <c r="I61" s="92">
        <f>H61/12</f>
        <v>101</v>
      </c>
      <c r="J61" s="72">
        <f>450/12</f>
        <v>37.5</v>
      </c>
      <c r="K61" s="119">
        <f>ROUND(H61+I61+J61,2)</f>
        <v>1350.5</v>
      </c>
      <c r="L61" s="92">
        <f>H61*11.45%</f>
        <v>138.774</v>
      </c>
      <c r="M61" s="92">
        <f>F61*11.65%</f>
        <v>141.19800000000001</v>
      </c>
      <c r="N61" s="63">
        <v>71</v>
      </c>
      <c r="O61" s="63"/>
      <c r="P61" s="248">
        <v>127.91</v>
      </c>
      <c r="Q61" s="63"/>
      <c r="R61" s="119">
        <f>L61+O61+P61+Q61</f>
        <v>266.68399999999997</v>
      </c>
      <c r="S61" s="63"/>
      <c r="T61" s="140">
        <f>K61-R61-S61</f>
        <v>1083.816</v>
      </c>
      <c r="U61" s="63"/>
      <c r="V61" s="123" t="s">
        <v>214</v>
      </c>
      <c r="W61" s="126" t="s">
        <v>213</v>
      </c>
      <c r="X61">
        <v>2600021</v>
      </c>
    </row>
    <row r="62" spans="1:24" ht="31.2" customHeight="1" x14ac:dyDescent="0.3">
      <c r="A62" s="71" t="s">
        <v>315</v>
      </c>
      <c r="B62" s="71">
        <v>2023</v>
      </c>
      <c r="C62" s="142" t="s">
        <v>295</v>
      </c>
      <c r="D62" s="223" t="s">
        <v>296</v>
      </c>
      <c r="E62" s="73" t="s">
        <v>84</v>
      </c>
      <c r="F62" s="91">
        <v>500</v>
      </c>
      <c r="G62" s="63">
        <v>30</v>
      </c>
      <c r="H62" s="72">
        <f>ROUND(F62/30*G62,2)</f>
        <v>500</v>
      </c>
      <c r="I62" s="122"/>
      <c r="J62" s="122"/>
      <c r="K62" s="119">
        <f>ROUND(H62+I62+J62,2)</f>
        <v>500</v>
      </c>
      <c r="L62" s="92">
        <f>H62*11.45%</f>
        <v>57.249999999999993</v>
      </c>
      <c r="M62" s="92">
        <f>F62*11.65%</f>
        <v>58.25</v>
      </c>
      <c r="N62" s="63">
        <v>71</v>
      </c>
      <c r="O62" s="63"/>
      <c r="P62" s="63"/>
      <c r="Q62" s="63"/>
      <c r="R62" s="119">
        <f>L62+O62+P62+Q62</f>
        <v>57.249999999999993</v>
      </c>
      <c r="S62" s="63"/>
      <c r="T62" s="140">
        <f>K62-R62-S62</f>
        <v>442.75</v>
      </c>
      <c r="U62" s="63"/>
      <c r="V62" s="123" t="s">
        <v>294</v>
      </c>
      <c r="W62" s="126" t="s">
        <v>205</v>
      </c>
      <c r="X62">
        <v>1410036</v>
      </c>
    </row>
    <row r="63" spans="1:24" ht="31.2" customHeight="1" x14ac:dyDescent="0.3">
      <c r="A63" s="332" t="s">
        <v>185</v>
      </c>
      <c r="B63" s="333"/>
      <c r="C63" s="333"/>
      <c r="D63" s="333"/>
      <c r="E63" s="334"/>
      <c r="F63" s="63"/>
      <c r="G63" s="63"/>
      <c r="H63" s="136">
        <f>SUM(H60:H62)</f>
        <v>2239</v>
      </c>
      <c r="I63" s="136">
        <f>SUM(I60:I61)</f>
        <v>144.91666666666666</v>
      </c>
      <c r="J63" s="136">
        <f>SUM(J60:J61)</f>
        <v>75</v>
      </c>
      <c r="K63" s="136">
        <f>SUM(K60:K62)</f>
        <v>2458.92</v>
      </c>
      <c r="L63" s="136">
        <f t="shared" ref="L63:Q63" si="14">SUM(L60:L61)</f>
        <v>199.1155</v>
      </c>
      <c r="M63" s="136">
        <f t="shared" si="14"/>
        <v>202.59350000000001</v>
      </c>
      <c r="N63" s="136">
        <f t="shared" si="14"/>
        <v>142</v>
      </c>
      <c r="O63" s="136">
        <f t="shared" si="14"/>
        <v>0</v>
      </c>
      <c r="P63" s="136">
        <f t="shared" si="14"/>
        <v>127.91</v>
      </c>
      <c r="Q63" s="136">
        <f t="shared" si="14"/>
        <v>0</v>
      </c>
      <c r="R63" s="136">
        <f>SUM(R60:R62)</f>
        <v>384.27549999999997</v>
      </c>
      <c r="S63" s="136">
        <f>SUM(S60:S61)</f>
        <v>34.04</v>
      </c>
      <c r="T63" s="157">
        <f>SUM(T60:T62)</f>
        <v>2040.6044999999999</v>
      </c>
      <c r="U63" s="137"/>
    </row>
    <row r="64" spans="1:24" x14ac:dyDescent="0.3">
      <c r="E64" s="330" t="s">
        <v>28</v>
      </c>
      <c r="F64" s="330"/>
      <c r="G64" s="330"/>
      <c r="H64" s="84"/>
      <c r="I64" s="85"/>
      <c r="J64" s="85"/>
      <c r="K64" s="86"/>
      <c r="L64" s="330" t="s">
        <v>187</v>
      </c>
      <c r="M64" s="330"/>
      <c r="N64" s="330"/>
      <c r="O64" s="330"/>
      <c r="P64" s="330"/>
      <c r="Q64" s="330"/>
    </row>
    <row r="65" spans="5:22" x14ac:dyDescent="0.3">
      <c r="E65" s="244"/>
      <c r="F65" s="244"/>
      <c r="G65" s="244"/>
      <c r="H65" s="84"/>
      <c r="I65" s="85"/>
      <c r="J65" s="85"/>
      <c r="K65" s="86"/>
      <c r="L65" s="244"/>
      <c r="M65" s="244"/>
      <c r="N65" s="244"/>
      <c r="O65" s="244"/>
      <c r="P65" s="244"/>
      <c r="Q65" s="244"/>
      <c r="T65" s="61">
        <f>T62+T60+T38+T14</f>
        <v>5877.6900714285712</v>
      </c>
      <c r="V65" s="123" t="s">
        <v>318</v>
      </c>
    </row>
    <row r="66" spans="5:22" x14ac:dyDescent="0.3">
      <c r="E66" s="145"/>
      <c r="F66" s="146"/>
      <c r="G66" s="145"/>
      <c r="H66" s="146"/>
      <c r="I66" s="85"/>
      <c r="J66" s="85"/>
      <c r="K66" s="88"/>
      <c r="L66" s="88"/>
      <c r="M66" s="88"/>
      <c r="N66" s="88"/>
      <c r="O66" s="88"/>
      <c r="P66" s="89"/>
      <c r="Q66" s="89"/>
      <c r="V66" s="123" t="s">
        <v>319</v>
      </c>
    </row>
    <row r="67" spans="5:22" x14ac:dyDescent="0.3">
      <c r="E67" s="317" t="s">
        <v>188</v>
      </c>
      <c r="F67" s="317"/>
      <c r="G67" s="317"/>
      <c r="H67" s="317"/>
      <c r="I67" s="85"/>
      <c r="J67" s="85"/>
      <c r="K67" s="88"/>
      <c r="L67" s="331" t="s">
        <v>189</v>
      </c>
      <c r="M67" s="331"/>
      <c r="N67" s="331"/>
      <c r="O67" s="331"/>
      <c r="P67" s="331"/>
      <c r="Q67" s="331"/>
      <c r="V67" s="123" t="s">
        <v>320</v>
      </c>
    </row>
    <row r="68" spans="5:22" x14ac:dyDescent="0.3">
      <c r="E68" s="316" t="s">
        <v>238</v>
      </c>
      <c r="F68" s="316"/>
      <c r="G68" s="316"/>
      <c r="H68" s="316"/>
      <c r="L68" s="316" t="s">
        <v>237</v>
      </c>
      <c r="M68" s="316"/>
      <c r="N68" s="316"/>
      <c r="O68" s="316"/>
      <c r="P68" s="316"/>
      <c r="Q68" s="316"/>
    </row>
  </sheetData>
  <mergeCells count="27">
    <mergeCell ref="E68:H68"/>
    <mergeCell ref="L68:Q68"/>
    <mergeCell ref="E44:H44"/>
    <mergeCell ref="L44:Q44"/>
    <mergeCell ref="E45:H45"/>
    <mergeCell ref="L45:Q45"/>
    <mergeCell ref="A53:U57"/>
    <mergeCell ref="A58:U58"/>
    <mergeCell ref="A63:E63"/>
    <mergeCell ref="E64:G64"/>
    <mergeCell ref="L64:Q64"/>
    <mergeCell ref="E67:H67"/>
    <mergeCell ref="L67:Q67"/>
    <mergeCell ref="E41:G41"/>
    <mergeCell ref="L41:Q41"/>
    <mergeCell ref="A1:U5"/>
    <mergeCell ref="A6:U6"/>
    <mergeCell ref="A14:E14"/>
    <mergeCell ref="E16:G16"/>
    <mergeCell ref="L16:Q16"/>
    <mergeCell ref="E19:H19"/>
    <mergeCell ref="L19:Q19"/>
    <mergeCell ref="E20:H20"/>
    <mergeCell ref="L20:Q20"/>
    <mergeCell ref="A22:U26"/>
    <mergeCell ref="A27:U27"/>
    <mergeCell ref="A38:E38"/>
  </mergeCells>
  <phoneticPr fontId="29" type="noConversion"/>
  <pageMargins left="0.7" right="0.7" top="0.75" bottom="0.75" header="0.3" footer="0.3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5"/>
  <sheetViews>
    <sheetView topLeftCell="A95" workbookViewId="0">
      <selection activeCell="I106" sqref="I106"/>
    </sheetView>
  </sheetViews>
  <sheetFormatPr baseColWidth="10" defaultRowHeight="14.4" x14ac:dyDescent="0.3"/>
  <cols>
    <col min="1" max="1" width="37.33203125" customWidth="1"/>
    <col min="2" max="2" width="27.5546875" customWidth="1"/>
    <col min="3" max="3" width="15.6640625" customWidth="1"/>
    <col min="4" max="4" width="21.6640625" customWidth="1"/>
  </cols>
  <sheetData>
    <row r="1" spans="1:4" ht="25.2" customHeight="1" x14ac:dyDescent="0.3">
      <c r="A1" s="294"/>
      <c r="B1" s="295"/>
      <c r="C1" s="295"/>
      <c r="D1" s="296"/>
    </row>
    <row r="2" spans="1:4" x14ac:dyDescent="0.3">
      <c r="A2" s="307"/>
      <c r="B2" s="308"/>
      <c r="C2" s="308"/>
      <c r="D2" s="309"/>
    </row>
    <row r="3" spans="1:4" ht="33" customHeight="1" thickBot="1" x14ac:dyDescent="0.35">
      <c r="A3" s="307"/>
      <c r="B3" s="308"/>
      <c r="C3" s="308"/>
      <c r="D3" s="309"/>
    </row>
    <row r="4" spans="1:4" ht="25.8" thickBot="1" x14ac:dyDescent="0.35">
      <c r="A4" s="350" t="s">
        <v>0</v>
      </c>
      <c r="B4" s="351"/>
      <c r="C4" s="351"/>
      <c r="D4" s="352"/>
    </row>
    <row r="5" spans="1:4" x14ac:dyDescent="0.3">
      <c r="A5" s="11" t="s">
        <v>1</v>
      </c>
      <c r="B5" s="3" t="str">
        <f>'ROL DE AGOSTO'!D8</f>
        <v>LUZ NARCISA GREFA YUMBO</v>
      </c>
      <c r="C5" s="3"/>
      <c r="D5" s="12"/>
    </row>
    <row r="6" spans="1:4" x14ac:dyDescent="0.3">
      <c r="A6" s="11" t="s">
        <v>2</v>
      </c>
      <c r="B6" s="55">
        <f>'ROL DE AGOSTO'!C8</f>
        <v>1500721202</v>
      </c>
      <c r="C6" s="4"/>
      <c r="D6" s="13"/>
    </row>
    <row r="7" spans="1:4" x14ac:dyDescent="0.3">
      <c r="A7" s="11" t="s">
        <v>3</v>
      </c>
      <c r="B7" s="3" t="str">
        <f>'ROL DE AGOSTO'!E8</f>
        <v>PRESIDENTA</v>
      </c>
      <c r="C7" s="4"/>
      <c r="D7" s="14"/>
    </row>
    <row r="8" spans="1:4" x14ac:dyDescent="0.3">
      <c r="A8" s="11" t="s">
        <v>26</v>
      </c>
      <c r="B8" s="3" t="str">
        <f>'ROL OCT23'!A29</f>
        <v>OCTUBRE</v>
      </c>
      <c r="C8" s="4"/>
      <c r="D8" s="15"/>
    </row>
    <row r="9" spans="1:4" x14ac:dyDescent="0.3">
      <c r="A9" s="11" t="s">
        <v>99</v>
      </c>
      <c r="B9" s="55">
        <f>'ROL DE AGOSTO'!B8</f>
        <v>2023</v>
      </c>
      <c r="C9" s="4"/>
      <c r="D9" s="15"/>
    </row>
    <row r="10" spans="1:4" x14ac:dyDescent="0.3">
      <c r="A10" s="203" t="s">
        <v>94</v>
      </c>
      <c r="B10" s="204"/>
      <c r="C10" s="205" t="s">
        <v>5</v>
      </c>
      <c r="D10" s="206" t="s">
        <v>6</v>
      </c>
    </row>
    <row r="11" spans="1:4" x14ac:dyDescent="0.3">
      <c r="A11" s="18"/>
      <c r="B11" s="6"/>
      <c r="C11" s="7"/>
      <c r="D11" s="19"/>
    </row>
    <row r="12" spans="1:4" ht="13.2" customHeight="1" x14ac:dyDescent="0.3">
      <c r="A12" s="26" t="s">
        <v>16</v>
      </c>
      <c r="B12" s="27"/>
      <c r="C12" s="28">
        <f>'ROL DE AGOSTO'!F8</f>
        <v>1340</v>
      </c>
      <c r="D12" s="29"/>
    </row>
    <row r="13" spans="1:4" ht="13.2" customHeight="1" x14ac:dyDescent="0.3">
      <c r="A13" s="26" t="s">
        <v>105</v>
      </c>
      <c r="B13" s="27"/>
      <c r="C13" s="28"/>
      <c r="D13" s="29"/>
    </row>
    <row r="14" spans="1:4" ht="13.2" customHeight="1" x14ac:dyDescent="0.3">
      <c r="A14" s="26" t="s">
        <v>8</v>
      </c>
      <c r="B14" s="27"/>
      <c r="C14" s="28"/>
      <c r="D14" s="29"/>
    </row>
    <row r="15" spans="1:4" ht="13.2" customHeight="1" x14ac:dyDescent="0.3">
      <c r="A15" s="26" t="s">
        <v>9</v>
      </c>
      <c r="B15" s="27"/>
      <c r="C15" s="28"/>
      <c r="D15" s="29"/>
    </row>
    <row r="16" spans="1:4" ht="13.2" customHeight="1" x14ac:dyDescent="0.3">
      <c r="A16" s="26"/>
      <c r="B16" s="27" t="s">
        <v>10</v>
      </c>
      <c r="C16" s="28"/>
      <c r="D16" s="29">
        <f>'ROL DE AGOSTO'!L8</f>
        <v>153.43</v>
      </c>
    </row>
    <row r="17" spans="1:4" ht="13.2" customHeight="1" x14ac:dyDescent="0.3">
      <c r="A17" s="26"/>
      <c r="B17" s="27" t="s">
        <v>11</v>
      </c>
      <c r="C17" s="28"/>
      <c r="D17" s="29">
        <f>'ROL DE AGOSTO'!O8</f>
        <v>0</v>
      </c>
    </row>
    <row r="18" spans="1:4" ht="13.2" customHeight="1" x14ac:dyDescent="0.3">
      <c r="A18" s="26"/>
      <c r="B18" s="27" t="s">
        <v>55</v>
      </c>
      <c r="C18" s="28"/>
      <c r="D18" s="29">
        <f>'ROL DE AGOSTO'!S8</f>
        <v>382.85714285714283</v>
      </c>
    </row>
    <row r="19" spans="1:4" ht="13.2" customHeight="1" x14ac:dyDescent="0.3">
      <c r="A19" s="26"/>
      <c r="B19" s="27" t="s">
        <v>18</v>
      </c>
      <c r="C19" s="28"/>
      <c r="D19" s="29">
        <f>'ROL DE AGOSTO'!P8</f>
        <v>0</v>
      </c>
    </row>
    <row r="20" spans="1:4" x14ac:dyDescent="0.3">
      <c r="A20" s="207"/>
      <c r="B20" s="208" t="s">
        <v>12</v>
      </c>
      <c r="C20" s="209">
        <f>SUM(C12:C19)</f>
        <v>1340</v>
      </c>
      <c r="D20" s="210">
        <f>SUM(D12:D19)</f>
        <v>536.28714285714284</v>
      </c>
    </row>
    <row r="21" spans="1:4" ht="28.2" x14ac:dyDescent="0.3">
      <c r="A21" s="21"/>
      <c r="B21" s="45"/>
      <c r="C21" s="211" t="s">
        <v>13</v>
      </c>
      <c r="D21" s="212">
        <f>+C20-D20</f>
        <v>803.71285714285716</v>
      </c>
    </row>
    <row r="22" spans="1:4" ht="15" thickBot="1" x14ac:dyDescent="0.35">
      <c r="A22" s="23"/>
      <c r="B22" s="4" t="s">
        <v>14</v>
      </c>
      <c r="C22" s="2"/>
      <c r="D22" s="24"/>
    </row>
    <row r="23" spans="1:4" x14ac:dyDescent="0.3">
      <c r="A23" s="213" t="s">
        <v>28</v>
      </c>
      <c r="B23" s="213" t="s">
        <v>93</v>
      </c>
      <c r="C23" s="348" t="s">
        <v>30</v>
      </c>
      <c r="D23" s="349"/>
    </row>
    <row r="24" spans="1:4" x14ac:dyDescent="0.3">
      <c r="A24" s="37"/>
      <c r="B24" s="34"/>
      <c r="C24" s="32"/>
      <c r="D24" s="25"/>
    </row>
    <row r="25" spans="1:4" x14ac:dyDescent="0.3">
      <c r="A25" s="37"/>
      <c r="B25" s="34"/>
      <c r="C25" s="32"/>
      <c r="D25" s="25"/>
    </row>
    <row r="26" spans="1:4" x14ac:dyDescent="0.3">
      <c r="A26" s="37"/>
      <c r="B26" s="34"/>
      <c r="C26" s="32"/>
      <c r="D26" s="25"/>
    </row>
    <row r="27" spans="1:4" x14ac:dyDescent="0.3">
      <c r="A27" s="37"/>
      <c r="B27" s="34"/>
      <c r="C27" s="32"/>
      <c r="D27" s="25"/>
    </row>
    <row r="28" spans="1:4" x14ac:dyDescent="0.3">
      <c r="A28" s="37"/>
      <c r="B28" s="34"/>
      <c r="C28" s="32"/>
      <c r="D28" s="25"/>
    </row>
    <row r="29" spans="1:4" x14ac:dyDescent="0.3">
      <c r="A29" s="38" t="s">
        <v>298</v>
      </c>
      <c r="B29" s="35" t="s">
        <v>297</v>
      </c>
      <c r="C29" s="290" t="str">
        <f>'ROL INDIVIDUAL'!B5</f>
        <v>LUZ NARCISA GREFA YUMBO</v>
      </c>
      <c r="D29" s="291"/>
    </row>
    <row r="30" spans="1:4" ht="15" thickBot="1" x14ac:dyDescent="0.35">
      <c r="A30" s="36" t="s">
        <v>246</v>
      </c>
      <c r="B30" s="33" t="s">
        <v>299</v>
      </c>
      <c r="C30" s="353">
        <f>B6</f>
        <v>1500721202</v>
      </c>
      <c r="D30" s="354"/>
    </row>
    <row r="31" spans="1:4" x14ac:dyDescent="0.3">
      <c r="A31" s="214"/>
      <c r="B31" s="58"/>
      <c r="C31" s="59"/>
      <c r="D31" s="215"/>
    </row>
    <row r="32" spans="1:4" ht="15" thickBot="1" x14ac:dyDescent="0.35">
      <c r="A32" s="214"/>
      <c r="B32" s="58"/>
      <c r="C32" s="59"/>
      <c r="D32" s="215"/>
    </row>
    <row r="33" spans="1:4" x14ac:dyDescent="0.3">
      <c r="A33" s="294"/>
      <c r="B33" s="295"/>
      <c r="C33" s="295"/>
      <c r="D33" s="296"/>
    </row>
    <row r="34" spans="1:4" x14ac:dyDescent="0.3">
      <c r="A34" s="307"/>
      <c r="B34" s="308"/>
      <c r="C34" s="308"/>
      <c r="D34" s="309"/>
    </row>
    <row r="35" spans="1:4" ht="45" customHeight="1" thickBot="1" x14ac:dyDescent="0.35">
      <c r="A35" s="307"/>
      <c r="B35" s="308"/>
      <c r="C35" s="308"/>
      <c r="D35" s="309"/>
    </row>
    <row r="36" spans="1:4" ht="25.8" thickBot="1" x14ac:dyDescent="0.35">
      <c r="A36" s="350" t="s">
        <v>0</v>
      </c>
      <c r="B36" s="351"/>
      <c r="C36" s="351"/>
      <c r="D36" s="352"/>
    </row>
    <row r="37" spans="1:4" x14ac:dyDescent="0.3">
      <c r="A37" s="11" t="s">
        <v>1</v>
      </c>
      <c r="B37" s="3" t="str">
        <f>'ROL DE AGOSTO'!D9</f>
        <v>DEISY EDITH GREFA VARGAS</v>
      </c>
      <c r="C37" s="3"/>
      <c r="D37" s="12"/>
    </row>
    <row r="38" spans="1:4" x14ac:dyDescent="0.3">
      <c r="A38" s="11" t="s">
        <v>2</v>
      </c>
      <c r="B38" s="10" t="str">
        <f>'ROL DE AGOSTO'!C9</f>
        <v>2200496376</v>
      </c>
      <c r="C38" s="4"/>
      <c r="D38" s="13"/>
    </row>
    <row r="39" spans="1:4" x14ac:dyDescent="0.3">
      <c r="A39" s="11" t="s">
        <v>3</v>
      </c>
      <c r="B39" s="3" t="str">
        <f>'ROL DE AGOSTO'!E9</f>
        <v>VICEPRESIDENTA</v>
      </c>
      <c r="C39" s="4"/>
      <c r="D39" s="14"/>
    </row>
    <row r="40" spans="1:4" x14ac:dyDescent="0.3">
      <c r="A40" s="11" t="s">
        <v>26</v>
      </c>
      <c r="B40" s="3" t="str">
        <f>B8</f>
        <v>OCTUBRE</v>
      </c>
      <c r="C40" s="4"/>
      <c r="D40" s="15"/>
    </row>
    <row r="41" spans="1:4" x14ac:dyDescent="0.3">
      <c r="A41" s="11" t="s">
        <v>99</v>
      </c>
      <c r="B41" s="55">
        <f>'ROL DE AGOSTO'!B8</f>
        <v>2023</v>
      </c>
      <c r="C41" s="4"/>
      <c r="D41" s="15"/>
    </row>
    <row r="42" spans="1:4" x14ac:dyDescent="0.3">
      <c r="A42" s="203" t="s">
        <v>94</v>
      </c>
      <c r="B42" s="204"/>
      <c r="C42" s="205" t="s">
        <v>5</v>
      </c>
      <c r="D42" s="206" t="s">
        <v>6</v>
      </c>
    </row>
    <row r="43" spans="1:4" x14ac:dyDescent="0.3">
      <c r="A43" s="18"/>
      <c r="B43" s="6"/>
      <c r="C43" s="7"/>
      <c r="D43" s="19"/>
    </row>
    <row r="44" spans="1:4" x14ac:dyDescent="0.3">
      <c r="A44" s="26" t="s">
        <v>16</v>
      </c>
      <c r="B44" s="27"/>
      <c r="C44" s="28">
        <f>'ROL OCT23'!F9</f>
        <v>536</v>
      </c>
      <c r="D44" s="29"/>
    </row>
    <row r="45" spans="1:4" ht="17.399999999999999" customHeight="1" x14ac:dyDescent="0.3">
      <c r="A45" s="26" t="s">
        <v>105</v>
      </c>
      <c r="B45" s="27"/>
      <c r="C45" s="28"/>
      <c r="D45" s="29"/>
    </row>
    <row r="46" spans="1:4" x14ac:dyDescent="0.3">
      <c r="A46" s="26" t="s">
        <v>8</v>
      </c>
      <c r="B46" s="27"/>
      <c r="C46" s="28"/>
      <c r="D46" s="29"/>
    </row>
    <row r="47" spans="1:4" x14ac:dyDescent="0.3">
      <c r="A47" s="26" t="s">
        <v>9</v>
      </c>
      <c r="B47" s="27"/>
      <c r="C47" s="28"/>
      <c r="D47" s="29"/>
    </row>
    <row r="48" spans="1:4" ht="24" x14ac:dyDescent="0.3">
      <c r="A48" s="26"/>
      <c r="B48" s="27" t="s">
        <v>10</v>
      </c>
      <c r="C48" s="28"/>
      <c r="D48" s="29">
        <f>C44*11.45%</f>
        <v>61.371999999999993</v>
      </c>
    </row>
    <row r="49" spans="1:4" ht="24" x14ac:dyDescent="0.3">
      <c r="A49" s="26"/>
      <c r="B49" s="27" t="s">
        <v>11</v>
      </c>
      <c r="C49" s="28"/>
      <c r="D49" s="29">
        <v>216</v>
      </c>
    </row>
    <row r="50" spans="1:4" x14ac:dyDescent="0.3">
      <c r="A50" s="26"/>
      <c r="B50" s="27" t="s">
        <v>55</v>
      </c>
      <c r="C50" s="28"/>
      <c r="D50" s="29">
        <v>178.67</v>
      </c>
    </row>
    <row r="51" spans="1:4" ht="24" x14ac:dyDescent="0.3">
      <c r="A51" s="26"/>
      <c r="B51" s="27" t="s">
        <v>18</v>
      </c>
      <c r="C51" s="28"/>
      <c r="D51" s="29"/>
    </row>
    <row r="52" spans="1:4" x14ac:dyDescent="0.3">
      <c r="A52" s="207"/>
      <c r="B52" s="208" t="s">
        <v>12</v>
      </c>
      <c r="C52" s="209">
        <f>SUM(C44:C51)</f>
        <v>536</v>
      </c>
      <c r="D52" s="210">
        <f>SUM(D44:D51)</f>
        <v>456.04200000000003</v>
      </c>
    </row>
    <row r="53" spans="1:4" ht="28.2" x14ac:dyDescent="0.3">
      <c r="A53" s="21"/>
      <c r="B53" s="45"/>
      <c r="C53" s="211" t="s">
        <v>13</v>
      </c>
      <c r="D53" s="212">
        <f>+C52-D52</f>
        <v>79.95799999999997</v>
      </c>
    </row>
    <row r="54" spans="1:4" ht="15" thickBot="1" x14ac:dyDescent="0.35">
      <c r="A54" s="23"/>
      <c r="B54" s="4" t="s">
        <v>14</v>
      </c>
      <c r="C54" s="2"/>
      <c r="D54" s="24"/>
    </row>
    <row r="55" spans="1:4" x14ac:dyDescent="0.3">
      <c r="A55" s="213" t="s">
        <v>28</v>
      </c>
      <c r="B55" s="213" t="s">
        <v>93</v>
      </c>
      <c r="C55" s="348" t="s">
        <v>30</v>
      </c>
      <c r="D55" s="349"/>
    </row>
    <row r="56" spans="1:4" x14ac:dyDescent="0.3">
      <c r="A56" s="37"/>
      <c r="B56" s="34"/>
      <c r="C56" s="32"/>
      <c r="D56" s="25"/>
    </row>
    <row r="57" spans="1:4" x14ac:dyDescent="0.3">
      <c r="A57" s="37"/>
      <c r="B57" s="34"/>
      <c r="C57" s="32"/>
      <c r="D57" s="25"/>
    </row>
    <row r="58" spans="1:4" x14ac:dyDescent="0.3">
      <c r="A58" s="37"/>
      <c r="B58" s="34"/>
      <c r="C58" s="32"/>
      <c r="D58" s="25"/>
    </row>
    <row r="59" spans="1:4" x14ac:dyDescent="0.3">
      <c r="A59" s="37"/>
      <c r="B59" s="34"/>
      <c r="C59" s="32"/>
      <c r="D59" s="25"/>
    </row>
    <row r="60" spans="1:4" x14ac:dyDescent="0.3">
      <c r="A60" s="37"/>
      <c r="B60" s="34"/>
      <c r="C60" s="32"/>
      <c r="D60" s="25"/>
    </row>
    <row r="61" spans="1:4" x14ac:dyDescent="0.3">
      <c r="A61" s="38" t="s">
        <v>298</v>
      </c>
      <c r="B61" s="35" t="s">
        <v>297</v>
      </c>
      <c r="C61" s="290" t="str">
        <f>B37</f>
        <v>DEISY EDITH GREFA VARGAS</v>
      </c>
      <c r="D61" s="291"/>
    </row>
    <row r="62" spans="1:4" ht="15" thickBot="1" x14ac:dyDescent="0.35">
      <c r="A62" s="36" t="s">
        <v>246</v>
      </c>
      <c r="B62" s="33" t="s">
        <v>299</v>
      </c>
      <c r="C62" s="353" t="str">
        <f>B38</f>
        <v>2200496376</v>
      </c>
      <c r="D62" s="354"/>
    </row>
    <row r="68" spans="1:4" ht="15" thickBot="1" x14ac:dyDescent="0.35"/>
    <row r="69" spans="1:4" x14ac:dyDescent="0.3">
      <c r="A69" s="294"/>
      <c r="B69" s="295"/>
      <c r="C69" s="295"/>
      <c r="D69" s="296"/>
    </row>
    <row r="70" spans="1:4" x14ac:dyDescent="0.3">
      <c r="A70" s="307"/>
      <c r="B70" s="308"/>
      <c r="C70" s="308"/>
      <c r="D70" s="309"/>
    </row>
    <row r="71" spans="1:4" ht="49.8" customHeight="1" thickBot="1" x14ac:dyDescent="0.35">
      <c r="A71" s="307"/>
      <c r="B71" s="308"/>
      <c r="C71" s="308"/>
      <c r="D71" s="309"/>
    </row>
    <row r="72" spans="1:4" ht="25.8" thickBot="1" x14ac:dyDescent="0.35">
      <c r="A72" s="350" t="s">
        <v>0</v>
      </c>
      <c r="B72" s="351"/>
      <c r="C72" s="351"/>
      <c r="D72" s="352"/>
    </row>
    <row r="73" spans="1:4" x14ac:dyDescent="0.3">
      <c r="A73" s="11" t="s">
        <v>1</v>
      </c>
      <c r="B73" s="3" t="str">
        <f>'ROL DE AGOSTO'!D10</f>
        <v>PEDRO PABLO MONTERO ALTAMIR</v>
      </c>
      <c r="C73" s="3"/>
      <c r="D73" s="12"/>
    </row>
    <row r="74" spans="1:4" x14ac:dyDescent="0.3">
      <c r="A74" s="11" t="s">
        <v>2</v>
      </c>
      <c r="B74" s="10" t="str">
        <f>'ROL DE AGOSTO'!C10</f>
        <v>1500518517</v>
      </c>
      <c r="C74" s="4"/>
      <c r="D74" s="13"/>
    </row>
    <row r="75" spans="1:4" x14ac:dyDescent="0.3">
      <c r="A75" s="11" t="s">
        <v>3</v>
      </c>
      <c r="B75" s="3" t="str">
        <f>'ROL DE AGOSTO'!E10</f>
        <v>1 VOCAL</v>
      </c>
      <c r="C75" s="4"/>
      <c r="D75" s="14"/>
    </row>
    <row r="76" spans="1:4" x14ac:dyDescent="0.3">
      <c r="A76" s="11" t="s">
        <v>26</v>
      </c>
      <c r="B76" s="3" t="str">
        <f>'ROL DE AGOSTO'!A10</f>
        <v>AGOSTO</v>
      </c>
      <c r="C76" s="4"/>
      <c r="D76" s="15"/>
    </row>
    <row r="77" spans="1:4" x14ac:dyDescent="0.3">
      <c r="A77" s="11" t="s">
        <v>99</v>
      </c>
      <c r="B77" s="55">
        <f>'ROL DE AGOSTO'!B10</f>
        <v>2023</v>
      </c>
      <c r="C77" s="4"/>
      <c r="D77" s="15"/>
    </row>
    <row r="78" spans="1:4" x14ac:dyDescent="0.3">
      <c r="A78" s="203" t="s">
        <v>94</v>
      </c>
      <c r="B78" s="204"/>
      <c r="C78" s="205" t="s">
        <v>5</v>
      </c>
      <c r="D78" s="206" t="s">
        <v>6</v>
      </c>
    </row>
    <row r="79" spans="1:4" x14ac:dyDescent="0.3">
      <c r="A79" s="18"/>
      <c r="B79" s="6"/>
      <c r="C79" s="7"/>
      <c r="D79" s="19"/>
    </row>
    <row r="80" spans="1:4" x14ac:dyDescent="0.3">
      <c r="A80" s="26" t="s">
        <v>16</v>
      </c>
      <c r="B80" s="27"/>
      <c r="C80" s="28">
        <f>'ROL DE AGOSTO'!F10</f>
        <v>536</v>
      </c>
      <c r="D80" s="29"/>
    </row>
    <row r="81" spans="1:4" x14ac:dyDescent="0.3">
      <c r="A81" s="26" t="s">
        <v>105</v>
      </c>
      <c r="B81" s="27"/>
      <c r="C81" s="28"/>
      <c r="D81" s="29"/>
    </row>
    <row r="82" spans="1:4" x14ac:dyDescent="0.3">
      <c r="A82" s="26" t="s">
        <v>8</v>
      </c>
      <c r="B82" s="27"/>
      <c r="C82" s="28"/>
      <c r="D82" s="29"/>
    </row>
    <row r="83" spans="1:4" x14ac:dyDescent="0.3">
      <c r="A83" s="26" t="s">
        <v>9</v>
      </c>
      <c r="B83" s="27"/>
      <c r="C83" s="28"/>
      <c r="D83" s="29"/>
    </row>
    <row r="84" spans="1:4" ht="24" x14ac:dyDescent="0.3">
      <c r="A84" s="26"/>
      <c r="B84" s="27" t="s">
        <v>10</v>
      </c>
      <c r="C84" s="28"/>
      <c r="D84" s="29">
        <f>'ROL DE AGOSTO'!L10</f>
        <v>61.37</v>
      </c>
    </row>
    <row r="85" spans="1:4" ht="24" x14ac:dyDescent="0.3">
      <c r="A85" s="26"/>
      <c r="B85" s="27" t="s">
        <v>11</v>
      </c>
      <c r="C85" s="28"/>
      <c r="D85" s="29">
        <f>'ROL DE AGOSTO'!O76</f>
        <v>0</v>
      </c>
    </row>
    <row r="86" spans="1:4" x14ac:dyDescent="0.3">
      <c r="A86" s="26"/>
      <c r="B86" s="27" t="s">
        <v>55</v>
      </c>
      <c r="C86" s="28"/>
      <c r="D86" s="29">
        <f>'ROL DE AGOSTO'!S10</f>
        <v>268</v>
      </c>
    </row>
    <row r="87" spans="1:4" ht="24" x14ac:dyDescent="0.3">
      <c r="A87" s="26"/>
      <c r="B87" s="27" t="s">
        <v>18</v>
      </c>
      <c r="C87" s="28"/>
      <c r="D87" s="29">
        <f>'ROL DE AGOSTO'!P10</f>
        <v>78.349999999999994</v>
      </c>
    </row>
    <row r="88" spans="1:4" x14ac:dyDescent="0.3">
      <c r="A88" s="207"/>
      <c r="B88" s="208" t="s">
        <v>12</v>
      </c>
      <c r="C88" s="209">
        <f>SUM(C80:C87)</f>
        <v>536</v>
      </c>
      <c r="D88" s="210">
        <f>SUM(D80:D87)</f>
        <v>407.72</v>
      </c>
    </row>
    <row r="89" spans="1:4" ht="28.2" x14ac:dyDescent="0.3">
      <c r="A89" s="21"/>
      <c r="B89" s="45"/>
      <c r="C89" s="211" t="s">
        <v>13</v>
      </c>
      <c r="D89" s="212">
        <f>+C88-D88</f>
        <v>128.27999999999997</v>
      </c>
    </row>
    <row r="90" spans="1:4" ht="15" thickBot="1" x14ac:dyDescent="0.35">
      <c r="A90" s="23"/>
      <c r="B90" s="4" t="s">
        <v>14</v>
      </c>
      <c r="C90" s="2"/>
      <c r="D90" s="24"/>
    </row>
    <row r="91" spans="1:4" x14ac:dyDescent="0.3">
      <c r="A91" s="213" t="s">
        <v>28</v>
      </c>
      <c r="B91" s="213" t="s">
        <v>93</v>
      </c>
      <c r="C91" s="348" t="s">
        <v>30</v>
      </c>
      <c r="D91" s="349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8" t="s">
        <v>298</v>
      </c>
      <c r="B97" s="35" t="s">
        <v>297</v>
      </c>
      <c r="C97" s="290" t="str">
        <f>'ROL INDIVIDUAL'!B73</f>
        <v>PEDRO PABLO MONTERO ALTAMIR</v>
      </c>
      <c r="D97" s="291"/>
    </row>
    <row r="98" spans="1:4" ht="15" thickBot="1" x14ac:dyDescent="0.35">
      <c r="A98" s="36" t="s">
        <v>246</v>
      </c>
      <c r="B98" s="33" t="s">
        <v>299</v>
      </c>
      <c r="C98" s="353" t="str">
        <f>B74</f>
        <v>1500518517</v>
      </c>
      <c r="D98" s="354"/>
    </row>
    <row r="99" spans="1:4" x14ac:dyDescent="0.3">
      <c r="A99" s="214"/>
      <c r="B99" s="58"/>
      <c r="C99" s="59"/>
      <c r="D99" s="215"/>
    </row>
    <row r="100" spans="1:4" ht="15" thickBot="1" x14ac:dyDescent="0.35">
      <c r="A100" s="214"/>
      <c r="B100" s="58"/>
      <c r="C100" s="59"/>
      <c r="D100" s="215"/>
    </row>
    <row r="101" spans="1:4" x14ac:dyDescent="0.3">
      <c r="A101" s="294"/>
      <c r="B101" s="295"/>
      <c r="C101" s="295"/>
      <c r="D101" s="296"/>
    </row>
    <row r="102" spans="1:4" x14ac:dyDescent="0.3">
      <c r="A102" s="307"/>
      <c r="B102" s="308"/>
      <c r="C102" s="308"/>
      <c r="D102" s="309"/>
    </row>
    <row r="103" spans="1:4" ht="46.8" customHeight="1" thickBot="1" x14ac:dyDescent="0.35">
      <c r="A103" s="307"/>
      <c r="B103" s="308"/>
      <c r="C103" s="308"/>
      <c r="D103" s="309"/>
    </row>
    <row r="104" spans="1:4" ht="25.8" thickBot="1" x14ac:dyDescent="0.35">
      <c r="A104" s="350" t="s">
        <v>0</v>
      </c>
      <c r="B104" s="351"/>
      <c r="C104" s="351"/>
      <c r="D104" s="352"/>
    </row>
    <row r="105" spans="1:4" x14ac:dyDescent="0.3">
      <c r="A105" s="11" t="s">
        <v>1</v>
      </c>
      <c r="B105" s="3" t="str">
        <f>'ROL DE AGOSTO'!D11</f>
        <v>FLAVIO FEDERICO GREFA SHIGUANGO</v>
      </c>
      <c r="C105" s="3"/>
      <c r="D105" s="12"/>
    </row>
    <row r="106" spans="1:4" x14ac:dyDescent="0.3">
      <c r="A106" s="11" t="s">
        <v>2</v>
      </c>
      <c r="B106" s="10" t="s">
        <v>303</v>
      </c>
      <c r="C106" s="4"/>
      <c r="D106" s="13"/>
    </row>
    <row r="107" spans="1:4" x14ac:dyDescent="0.3">
      <c r="A107" s="11" t="s">
        <v>3</v>
      </c>
      <c r="B107" s="3" t="str">
        <f>'ROL DE AGOSTO'!E11</f>
        <v>2 VOCAL</v>
      </c>
      <c r="C107" s="4"/>
      <c r="D107" s="14"/>
    </row>
    <row r="108" spans="1:4" x14ac:dyDescent="0.3">
      <c r="A108" s="11" t="s">
        <v>26</v>
      </c>
      <c r="B108" s="3" t="str">
        <f>'ROL OCT23'!A10</f>
        <v>OCTUBRE</v>
      </c>
      <c r="C108" s="4"/>
      <c r="D108" s="15"/>
    </row>
    <row r="109" spans="1:4" x14ac:dyDescent="0.3">
      <c r="A109" s="11" t="s">
        <v>99</v>
      </c>
      <c r="B109" s="55">
        <f>'ROL DE AGOSTO'!B11</f>
        <v>2023</v>
      </c>
      <c r="C109" s="4"/>
      <c r="D109" s="15"/>
    </row>
    <row r="110" spans="1:4" x14ac:dyDescent="0.3">
      <c r="A110" s="203" t="s">
        <v>94</v>
      </c>
      <c r="B110" s="204"/>
      <c r="C110" s="205" t="s">
        <v>5</v>
      </c>
      <c r="D110" s="206" t="s">
        <v>6</v>
      </c>
    </row>
    <row r="111" spans="1:4" x14ac:dyDescent="0.3">
      <c r="A111" s="18"/>
      <c r="B111" s="6"/>
      <c r="C111" s="7"/>
      <c r="D111" s="19"/>
    </row>
    <row r="112" spans="1:4" x14ac:dyDescent="0.3">
      <c r="A112" s="26" t="s">
        <v>16</v>
      </c>
      <c r="B112" s="27"/>
      <c r="C112" s="28">
        <f>'ROL DE AGOSTO'!K12</f>
        <v>536</v>
      </c>
      <c r="D112" s="29"/>
    </row>
    <row r="113" spans="1:4" x14ac:dyDescent="0.3">
      <c r="A113" s="26" t="s">
        <v>105</v>
      </c>
      <c r="B113" s="27"/>
      <c r="C113" s="28"/>
      <c r="D113" s="29"/>
    </row>
    <row r="114" spans="1:4" x14ac:dyDescent="0.3">
      <c r="A114" s="26" t="s">
        <v>8</v>
      </c>
      <c r="B114" s="27"/>
      <c r="C114" s="28"/>
      <c r="D114" s="29"/>
    </row>
    <row r="115" spans="1:4" x14ac:dyDescent="0.3">
      <c r="A115" s="26" t="s">
        <v>9</v>
      </c>
      <c r="B115" s="27"/>
      <c r="C115" s="28"/>
      <c r="D115" s="29"/>
    </row>
    <row r="116" spans="1:4" ht="24" x14ac:dyDescent="0.3">
      <c r="A116" s="26"/>
      <c r="B116" s="27" t="s">
        <v>10</v>
      </c>
      <c r="C116" s="28"/>
      <c r="D116" s="29">
        <f>'ROL DE AGOSTO'!L11</f>
        <v>61.37</v>
      </c>
    </row>
    <row r="117" spans="1:4" ht="24" x14ac:dyDescent="0.3">
      <c r="A117" s="26"/>
      <c r="B117" s="27" t="s">
        <v>11</v>
      </c>
      <c r="C117" s="28"/>
      <c r="D117" s="29"/>
    </row>
    <row r="118" spans="1:4" x14ac:dyDescent="0.3">
      <c r="A118" s="26"/>
      <c r="B118" s="27" t="s">
        <v>55</v>
      </c>
      <c r="C118" s="28"/>
      <c r="D118" s="29">
        <f>'ROL DE AGOSTO'!S11</f>
        <v>268</v>
      </c>
    </row>
    <row r="119" spans="1:4" ht="24" x14ac:dyDescent="0.3">
      <c r="A119" s="26"/>
      <c r="B119" s="27" t="s">
        <v>18</v>
      </c>
      <c r="C119" s="28"/>
      <c r="D119" s="29">
        <f>'ROL DE AGOSTO'!P11</f>
        <v>85</v>
      </c>
    </row>
    <row r="120" spans="1:4" x14ac:dyDescent="0.3">
      <c r="A120" s="207"/>
      <c r="B120" s="208" t="s">
        <v>12</v>
      </c>
      <c r="C120" s="209">
        <f>SUM(C112:C119)</f>
        <v>536</v>
      </c>
      <c r="D120" s="210">
        <f>SUM(D112:D119)</f>
        <v>414.37</v>
      </c>
    </row>
    <row r="121" spans="1:4" ht="28.2" x14ac:dyDescent="0.3">
      <c r="A121" s="21"/>
      <c r="B121" s="45"/>
      <c r="C121" s="211" t="s">
        <v>13</v>
      </c>
      <c r="D121" s="212">
        <f>+C120-D120</f>
        <v>121.63</v>
      </c>
    </row>
    <row r="122" spans="1:4" ht="15" thickBot="1" x14ac:dyDescent="0.35">
      <c r="A122" s="23"/>
      <c r="B122" s="4" t="s">
        <v>14</v>
      </c>
      <c r="C122" s="2"/>
      <c r="D122" s="24"/>
    </row>
    <row r="123" spans="1:4" x14ac:dyDescent="0.3">
      <c r="A123" s="213" t="s">
        <v>28</v>
      </c>
      <c r="B123" s="213" t="s">
        <v>93</v>
      </c>
      <c r="C123" s="348" t="s">
        <v>30</v>
      </c>
      <c r="D123" s="349"/>
    </row>
    <row r="124" spans="1:4" x14ac:dyDescent="0.3">
      <c r="A124" s="37"/>
      <c r="B124" s="34"/>
      <c r="C124" s="32"/>
      <c r="D124" s="25"/>
    </row>
    <row r="125" spans="1:4" x14ac:dyDescent="0.3">
      <c r="A125" s="37"/>
      <c r="B125" s="34"/>
      <c r="C125" s="32"/>
      <c r="D125" s="25"/>
    </row>
    <row r="126" spans="1:4" x14ac:dyDescent="0.3">
      <c r="A126" s="37"/>
      <c r="B126" s="34"/>
      <c r="C126" s="32"/>
      <c r="D126" s="25"/>
    </row>
    <row r="127" spans="1:4" x14ac:dyDescent="0.3">
      <c r="A127" s="37"/>
      <c r="B127" s="34"/>
      <c r="C127" s="32"/>
      <c r="D127" s="25"/>
    </row>
    <row r="128" spans="1:4" x14ac:dyDescent="0.3">
      <c r="A128" s="37"/>
      <c r="B128" s="34"/>
      <c r="C128" s="32"/>
      <c r="D128" s="25"/>
    </row>
    <row r="129" spans="1:4" x14ac:dyDescent="0.3">
      <c r="A129" s="38" t="s">
        <v>298</v>
      </c>
      <c r="B129" s="35" t="s">
        <v>297</v>
      </c>
      <c r="C129" s="290" t="str">
        <f>B105</f>
        <v>FLAVIO FEDERICO GREFA SHIGUANGO</v>
      </c>
      <c r="D129" s="291"/>
    </row>
    <row r="130" spans="1:4" ht="15" customHeight="1" thickBot="1" x14ac:dyDescent="0.35">
      <c r="A130" s="36" t="s">
        <v>246</v>
      </c>
      <c r="B130" s="33" t="s">
        <v>299</v>
      </c>
      <c r="C130" s="353" t="str">
        <f>B106</f>
        <v>1500367295</v>
      </c>
      <c r="D130" s="354"/>
    </row>
    <row r="133" spans="1:4" ht="15" thickBot="1" x14ac:dyDescent="0.35"/>
    <row r="134" spans="1:4" x14ac:dyDescent="0.3">
      <c r="A134" s="294"/>
      <c r="B134" s="295"/>
      <c r="C134" s="295"/>
      <c r="D134" s="296"/>
    </row>
    <row r="135" spans="1:4" x14ac:dyDescent="0.3">
      <c r="A135" s="307"/>
      <c r="B135" s="308"/>
      <c r="C135" s="308"/>
      <c r="D135" s="309"/>
    </row>
    <row r="136" spans="1:4" ht="15" thickBot="1" x14ac:dyDescent="0.35">
      <c r="A136" s="307"/>
      <c r="B136" s="308"/>
      <c r="C136" s="308"/>
      <c r="D136" s="309"/>
    </row>
    <row r="137" spans="1:4" ht="25.8" thickBot="1" x14ac:dyDescent="0.35">
      <c r="A137" s="350" t="s">
        <v>0</v>
      </c>
      <c r="B137" s="351"/>
      <c r="C137" s="351"/>
      <c r="D137" s="352"/>
    </row>
    <row r="138" spans="1:4" x14ac:dyDescent="0.3">
      <c r="A138" s="11" t="s">
        <v>1</v>
      </c>
      <c r="B138" s="3" t="str">
        <f>'ROL DE AGOSTO'!D12</f>
        <v>JEANET VIVIANA VASQUEZ YUMBO</v>
      </c>
      <c r="C138" s="3"/>
      <c r="D138" s="12"/>
    </row>
    <row r="139" spans="1:4" x14ac:dyDescent="0.3">
      <c r="A139" s="11" t="s">
        <v>2</v>
      </c>
      <c r="B139" s="55">
        <f>'ROL DE AGOSTO'!C12</f>
        <v>1500814940</v>
      </c>
      <c r="C139" s="4"/>
      <c r="D139" s="13"/>
    </row>
    <row r="140" spans="1:4" x14ac:dyDescent="0.3">
      <c r="A140" s="11" t="s">
        <v>3</v>
      </c>
      <c r="B140" s="3" t="str">
        <f>'ROL DE AGOSTO'!E12</f>
        <v>3 VOCAL</v>
      </c>
      <c r="C140" s="4"/>
      <c r="D140" s="14"/>
    </row>
    <row r="141" spans="1:4" x14ac:dyDescent="0.3">
      <c r="A141" s="11" t="s">
        <v>26</v>
      </c>
      <c r="B141" s="3" t="str">
        <f>'ROL DE AGOSTO'!A12</f>
        <v>AGOSTO</v>
      </c>
      <c r="C141" s="4"/>
      <c r="D141" s="15"/>
    </row>
    <row r="142" spans="1:4" x14ac:dyDescent="0.3">
      <c r="A142" s="11" t="s">
        <v>99</v>
      </c>
      <c r="B142" s="55">
        <f>'ROL DE AGOSTO'!B12</f>
        <v>2023</v>
      </c>
      <c r="C142" s="4"/>
      <c r="D142" s="15"/>
    </row>
    <row r="143" spans="1:4" x14ac:dyDescent="0.3">
      <c r="A143" s="203" t="s">
        <v>94</v>
      </c>
      <c r="B143" s="204"/>
      <c r="C143" s="205" t="s">
        <v>5</v>
      </c>
      <c r="D143" s="206" t="s">
        <v>6</v>
      </c>
    </row>
    <row r="144" spans="1:4" x14ac:dyDescent="0.3">
      <c r="A144" s="18"/>
      <c r="B144" s="6"/>
      <c r="C144" s="7"/>
      <c r="D144" s="19"/>
    </row>
    <row r="145" spans="1:4" x14ac:dyDescent="0.3">
      <c r="A145" s="26" t="s">
        <v>16</v>
      </c>
      <c r="B145" s="27"/>
      <c r="C145" s="28">
        <f>'ROL DE AGOSTO'!F12</f>
        <v>536</v>
      </c>
      <c r="D145" s="29"/>
    </row>
    <row r="146" spans="1:4" x14ac:dyDescent="0.3">
      <c r="A146" s="26" t="s">
        <v>105</v>
      </c>
      <c r="B146" s="27"/>
      <c r="C146" s="28"/>
      <c r="D146" s="29"/>
    </row>
    <row r="147" spans="1:4" x14ac:dyDescent="0.3">
      <c r="A147" s="26" t="s">
        <v>8</v>
      </c>
      <c r="B147" s="27"/>
      <c r="C147" s="28"/>
      <c r="D147" s="29"/>
    </row>
    <row r="148" spans="1:4" x14ac:dyDescent="0.3">
      <c r="A148" s="26" t="s">
        <v>9</v>
      </c>
      <c r="B148" s="27"/>
      <c r="C148" s="28"/>
      <c r="D148" s="29"/>
    </row>
    <row r="149" spans="1:4" ht="24" x14ac:dyDescent="0.3">
      <c r="A149" s="26"/>
      <c r="B149" s="27" t="s">
        <v>10</v>
      </c>
      <c r="C149" s="28"/>
      <c r="D149" s="29">
        <f>'ROL DE AGOSTO'!L12</f>
        <v>61.37</v>
      </c>
    </row>
    <row r="150" spans="1:4" ht="24" x14ac:dyDescent="0.3">
      <c r="A150" s="26"/>
      <c r="B150" s="27" t="s">
        <v>11</v>
      </c>
      <c r="C150" s="28"/>
      <c r="D150" s="29">
        <f>'ROL DE AGOSTO'!O141</f>
        <v>0</v>
      </c>
    </row>
    <row r="151" spans="1:4" x14ac:dyDescent="0.3">
      <c r="A151" s="26"/>
      <c r="B151" s="27" t="s">
        <v>55</v>
      </c>
      <c r="C151" s="28"/>
      <c r="D151" s="29">
        <f>'ROL DE AGOSTO'!S12</f>
        <v>229.71428571428572</v>
      </c>
    </row>
    <row r="152" spans="1:4" ht="24" x14ac:dyDescent="0.3">
      <c r="A152" s="26"/>
      <c r="B152" s="27" t="s">
        <v>18</v>
      </c>
      <c r="C152" s="28"/>
      <c r="D152" s="29">
        <f>'ROL DE AGOSTO'!P12</f>
        <v>72.349999999999994</v>
      </c>
    </row>
    <row r="153" spans="1:4" x14ac:dyDescent="0.3">
      <c r="A153" s="207"/>
      <c r="B153" s="208" t="s">
        <v>12</v>
      </c>
      <c r="C153" s="209">
        <f>SUM(C145:C152)</f>
        <v>536</v>
      </c>
      <c r="D153" s="210">
        <f>SUM(D145:D152)</f>
        <v>363.43428571428569</v>
      </c>
    </row>
    <row r="154" spans="1:4" ht="28.2" x14ac:dyDescent="0.3">
      <c r="A154" s="21"/>
      <c r="B154" s="45"/>
      <c r="C154" s="211" t="s">
        <v>13</v>
      </c>
      <c r="D154" s="212">
        <f>+C153-D153</f>
        <v>172.56571428571431</v>
      </c>
    </row>
    <row r="155" spans="1:4" ht="15" thickBot="1" x14ac:dyDescent="0.35">
      <c r="A155" s="23"/>
      <c r="B155" s="4" t="s">
        <v>14</v>
      </c>
      <c r="C155" s="2"/>
      <c r="D155" s="24"/>
    </row>
    <row r="156" spans="1:4" x14ac:dyDescent="0.3">
      <c r="A156" s="213" t="s">
        <v>28</v>
      </c>
      <c r="B156" s="213" t="s">
        <v>93</v>
      </c>
      <c r="C156" s="348" t="s">
        <v>30</v>
      </c>
      <c r="D156" s="349"/>
    </row>
    <row r="157" spans="1:4" x14ac:dyDescent="0.3">
      <c r="A157" s="37"/>
      <c r="B157" s="34"/>
      <c r="C157" s="32"/>
      <c r="D157" s="25"/>
    </row>
    <row r="158" spans="1:4" x14ac:dyDescent="0.3">
      <c r="A158" s="37"/>
      <c r="B158" s="34"/>
      <c r="C158" s="32"/>
      <c r="D158" s="25"/>
    </row>
    <row r="159" spans="1:4" x14ac:dyDescent="0.3">
      <c r="A159" s="37"/>
      <c r="B159" s="34"/>
      <c r="C159" s="32"/>
      <c r="D159" s="25"/>
    </row>
    <row r="160" spans="1:4" x14ac:dyDescent="0.3">
      <c r="A160" s="37"/>
      <c r="B160" s="34"/>
      <c r="C160" s="32"/>
      <c r="D160" s="25"/>
    </row>
    <row r="161" spans="1:4" x14ac:dyDescent="0.3">
      <c r="A161" s="37"/>
      <c r="B161" s="34"/>
      <c r="C161" s="32"/>
      <c r="D161" s="25"/>
    </row>
    <row r="162" spans="1:4" x14ac:dyDescent="0.3">
      <c r="A162" s="38" t="s">
        <v>298</v>
      </c>
      <c r="B162" s="35" t="s">
        <v>297</v>
      </c>
      <c r="C162" s="290" t="str">
        <f>'ROL INDIVIDUAL'!B138</f>
        <v>JEANET VIVIANA VASQUEZ YUMBO</v>
      </c>
      <c r="D162" s="291"/>
    </row>
    <row r="163" spans="1:4" ht="15" thickBot="1" x14ac:dyDescent="0.35">
      <c r="A163" s="36" t="s">
        <v>246</v>
      </c>
      <c r="B163" s="33" t="s">
        <v>299</v>
      </c>
      <c r="C163" s="353">
        <f>B139</f>
        <v>1500814940</v>
      </c>
      <c r="D163" s="354"/>
    </row>
    <row r="164" spans="1:4" x14ac:dyDescent="0.3">
      <c r="A164" s="214"/>
      <c r="B164" s="58"/>
      <c r="C164" s="59"/>
      <c r="D164" s="215"/>
    </row>
    <row r="165" spans="1:4" ht="15" thickBot="1" x14ac:dyDescent="0.35">
      <c r="A165" s="214"/>
      <c r="B165" s="58"/>
      <c r="C165" s="59"/>
      <c r="D165" s="215"/>
    </row>
    <row r="166" spans="1:4" x14ac:dyDescent="0.3">
      <c r="A166" s="294"/>
      <c r="B166" s="295"/>
      <c r="C166" s="295"/>
      <c r="D166" s="296"/>
    </row>
    <row r="167" spans="1:4" x14ac:dyDescent="0.3">
      <c r="A167" s="307"/>
      <c r="B167" s="308"/>
      <c r="C167" s="308"/>
      <c r="D167" s="309"/>
    </row>
    <row r="168" spans="1:4" ht="15" thickBot="1" x14ac:dyDescent="0.35">
      <c r="A168" s="307"/>
      <c r="B168" s="308"/>
      <c r="C168" s="308"/>
      <c r="D168" s="309"/>
    </row>
    <row r="169" spans="1:4" ht="25.8" thickBot="1" x14ac:dyDescent="0.35">
      <c r="A169" s="350" t="s">
        <v>0</v>
      </c>
      <c r="B169" s="351"/>
      <c r="C169" s="351"/>
      <c r="D169" s="352"/>
    </row>
    <row r="170" spans="1:4" x14ac:dyDescent="0.3">
      <c r="A170" s="11" t="s">
        <v>1</v>
      </c>
      <c r="B170" s="3" t="str">
        <f>'ROL DE AGOSTO'!D13</f>
        <v>BONILLA QUERA  INES ROCIO</v>
      </c>
      <c r="C170" s="3"/>
      <c r="D170" s="12"/>
    </row>
    <row r="171" spans="1:4" x14ac:dyDescent="0.3">
      <c r="A171" s="11" t="s">
        <v>2</v>
      </c>
      <c r="B171" s="10" t="str">
        <f>'ROL DE AGOSTO'!C13</f>
        <v>2200277818</v>
      </c>
      <c r="C171" s="4"/>
      <c r="D171" s="13"/>
    </row>
    <row r="172" spans="1:4" x14ac:dyDescent="0.3">
      <c r="A172" s="11" t="s">
        <v>3</v>
      </c>
      <c r="B172" s="3" t="str">
        <f>'ROL DE AGOSTO'!E13</f>
        <v>TESORERA_SECRETARIA</v>
      </c>
      <c r="C172" s="4"/>
      <c r="D172" s="14"/>
    </row>
    <row r="173" spans="1:4" x14ac:dyDescent="0.3">
      <c r="A173" s="11" t="s">
        <v>26</v>
      </c>
      <c r="B173" s="3" t="str">
        <f>'ROL DE AGOSTO'!A13</f>
        <v>AGOSTO</v>
      </c>
      <c r="C173" s="4"/>
      <c r="D173" s="15"/>
    </row>
    <row r="174" spans="1:4" x14ac:dyDescent="0.3">
      <c r="A174" s="11" t="s">
        <v>99</v>
      </c>
      <c r="B174" s="55">
        <f>'ROL DE AGOSTO'!B13</f>
        <v>2023</v>
      </c>
      <c r="C174" s="4"/>
      <c r="D174" s="15"/>
    </row>
    <row r="175" spans="1:4" x14ac:dyDescent="0.3">
      <c r="A175" s="203" t="s">
        <v>94</v>
      </c>
      <c r="B175" s="204"/>
      <c r="C175" s="205" t="s">
        <v>5</v>
      </c>
      <c r="D175" s="206" t="s">
        <v>6</v>
      </c>
    </row>
    <row r="176" spans="1:4" x14ac:dyDescent="0.3">
      <c r="A176" s="18"/>
      <c r="B176" s="6"/>
      <c r="C176" s="7"/>
      <c r="D176" s="19"/>
    </row>
    <row r="177" spans="1:4" x14ac:dyDescent="0.3">
      <c r="A177" s="26" t="s">
        <v>16</v>
      </c>
      <c r="B177" s="27"/>
      <c r="C177" s="28">
        <f>'ROL DE AGOSTO'!F13</f>
        <v>733</v>
      </c>
      <c r="D177" s="29"/>
    </row>
    <row r="178" spans="1:4" x14ac:dyDescent="0.3">
      <c r="A178" s="26" t="s">
        <v>105</v>
      </c>
      <c r="B178" s="27"/>
      <c r="C178" s="28"/>
      <c r="D178" s="29"/>
    </row>
    <row r="179" spans="1:4" x14ac:dyDescent="0.3">
      <c r="A179" s="26" t="s">
        <v>8</v>
      </c>
      <c r="B179" s="27"/>
      <c r="C179" s="28"/>
      <c r="D179" s="29"/>
    </row>
    <row r="180" spans="1:4" x14ac:dyDescent="0.3">
      <c r="A180" s="26" t="s">
        <v>9</v>
      </c>
      <c r="B180" s="27"/>
      <c r="C180" s="28"/>
      <c r="D180" s="29"/>
    </row>
    <row r="181" spans="1:4" ht="24" x14ac:dyDescent="0.3">
      <c r="A181" s="26"/>
      <c r="B181" s="27" t="s">
        <v>10</v>
      </c>
      <c r="C181" s="28"/>
      <c r="D181" s="29">
        <f>'ROL DE AGOSTO'!L13</f>
        <v>83.93</v>
      </c>
    </row>
    <row r="182" spans="1:4" ht="24" x14ac:dyDescent="0.3">
      <c r="A182" s="26"/>
      <c r="B182" s="27" t="s">
        <v>11</v>
      </c>
      <c r="C182" s="28"/>
      <c r="D182" s="29">
        <f>'ROL DE AGOSTO'!O142</f>
        <v>0</v>
      </c>
    </row>
    <row r="183" spans="1:4" x14ac:dyDescent="0.3">
      <c r="A183" s="26"/>
      <c r="B183" s="27" t="s">
        <v>55</v>
      </c>
      <c r="C183" s="28"/>
      <c r="D183" s="29">
        <f>'ROL DE AGOSTO'!S142</f>
        <v>0</v>
      </c>
    </row>
    <row r="184" spans="1:4" ht="24" x14ac:dyDescent="0.3">
      <c r="A184" s="26"/>
      <c r="B184" s="27" t="s">
        <v>18</v>
      </c>
      <c r="C184" s="28"/>
      <c r="D184" s="29">
        <f>'ROL DE AGOSTO'!P142</f>
        <v>0</v>
      </c>
    </row>
    <row r="185" spans="1:4" x14ac:dyDescent="0.3">
      <c r="A185" s="207"/>
      <c r="B185" s="208" t="s">
        <v>12</v>
      </c>
      <c r="C185" s="209">
        <f>SUM(C177:C184)</f>
        <v>733</v>
      </c>
      <c r="D185" s="210">
        <f>SUM(D177:D184)</f>
        <v>83.93</v>
      </c>
    </row>
    <row r="186" spans="1:4" ht="28.2" x14ac:dyDescent="0.3">
      <c r="A186" s="21"/>
      <c r="B186" s="45"/>
      <c r="C186" s="211" t="s">
        <v>13</v>
      </c>
      <c r="D186" s="212">
        <f>+C185-D185</f>
        <v>649.06999999999994</v>
      </c>
    </row>
    <row r="187" spans="1:4" ht="15" thickBot="1" x14ac:dyDescent="0.35">
      <c r="A187" s="23"/>
      <c r="B187" s="4" t="s">
        <v>14</v>
      </c>
      <c r="C187" s="2"/>
      <c r="D187" s="24"/>
    </row>
    <row r="188" spans="1:4" x14ac:dyDescent="0.3">
      <c r="A188" s="213" t="s">
        <v>28</v>
      </c>
      <c r="B188" s="213" t="s">
        <v>93</v>
      </c>
      <c r="C188" s="348" t="s">
        <v>30</v>
      </c>
      <c r="D188" s="349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8" t="s">
        <v>298</v>
      </c>
      <c r="B194" s="35" t="s">
        <v>297</v>
      </c>
      <c r="C194" s="290" t="str">
        <f>B170</f>
        <v>BONILLA QUERA  INES ROCIO</v>
      </c>
      <c r="D194" s="291"/>
    </row>
    <row r="195" spans="1:4" ht="15" thickBot="1" x14ac:dyDescent="0.35">
      <c r="A195" s="36" t="s">
        <v>246</v>
      </c>
      <c r="B195" s="33" t="s">
        <v>299</v>
      </c>
      <c r="C195" s="353" t="str">
        <f>B171</f>
        <v>2200277818</v>
      </c>
      <c r="D195" s="354"/>
    </row>
    <row r="203" spans="1:4" ht="15" thickBot="1" x14ac:dyDescent="0.35"/>
    <row r="204" spans="1:4" x14ac:dyDescent="0.3">
      <c r="A204" s="294"/>
      <c r="B204" s="295"/>
      <c r="C204" s="295"/>
      <c r="D204" s="296"/>
    </row>
    <row r="205" spans="1:4" x14ac:dyDescent="0.3">
      <c r="A205" s="307"/>
      <c r="B205" s="308"/>
      <c r="C205" s="308"/>
      <c r="D205" s="309"/>
    </row>
    <row r="206" spans="1:4" ht="15" thickBot="1" x14ac:dyDescent="0.35">
      <c r="A206" s="307"/>
      <c r="B206" s="308"/>
      <c r="C206" s="308"/>
      <c r="D206" s="309"/>
    </row>
    <row r="207" spans="1:4" ht="25.8" thickBot="1" x14ac:dyDescent="0.35">
      <c r="A207" s="350" t="s">
        <v>0</v>
      </c>
      <c r="B207" s="351"/>
      <c r="C207" s="351"/>
      <c r="D207" s="352"/>
    </row>
    <row r="208" spans="1:4" x14ac:dyDescent="0.3">
      <c r="A208" s="11" t="s">
        <v>1</v>
      </c>
      <c r="B208" s="3" t="str">
        <f>'ROL DE AGOSTO'!D29</f>
        <v>AREVALO VILLACRES MONICA LETICIA</v>
      </c>
      <c r="C208" s="3"/>
      <c r="D208" s="12"/>
    </row>
    <row r="209" spans="1:4" x14ac:dyDescent="0.3">
      <c r="A209" s="11" t="s">
        <v>2</v>
      </c>
      <c r="B209" s="55" t="str">
        <f>'ROL DE AGOSTO'!C29</f>
        <v>2250187560</v>
      </c>
      <c r="C209" s="4"/>
      <c r="D209" s="13"/>
    </row>
    <row r="210" spans="1:4" x14ac:dyDescent="0.3">
      <c r="A210" s="11" t="s">
        <v>3</v>
      </c>
      <c r="B210" s="3" t="str">
        <f>'ROL DE AGOSTO'!E29</f>
        <v>SECRETARIA-AUXILIAR</v>
      </c>
      <c r="C210" s="4"/>
      <c r="D210" s="14"/>
    </row>
    <row r="211" spans="1:4" x14ac:dyDescent="0.3">
      <c r="A211" s="11" t="s">
        <v>26</v>
      </c>
      <c r="B211" s="3" t="str">
        <f>'ROL DE AGOSTO'!A29</f>
        <v>AGOSTO</v>
      </c>
      <c r="C211" s="4"/>
      <c r="D211" s="15"/>
    </row>
    <row r="212" spans="1:4" x14ac:dyDescent="0.3">
      <c r="A212" s="11" t="s">
        <v>99</v>
      </c>
      <c r="B212" s="55">
        <f>'ROL DE AGOSTO'!B211</f>
        <v>0</v>
      </c>
      <c r="C212" s="4"/>
      <c r="D212" s="15"/>
    </row>
    <row r="213" spans="1:4" x14ac:dyDescent="0.3">
      <c r="A213" s="203" t="s">
        <v>94</v>
      </c>
      <c r="B213" s="204"/>
      <c r="C213" s="205" t="s">
        <v>5</v>
      </c>
      <c r="D213" s="206" t="s">
        <v>6</v>
      </c>
    </row>
    <row r="214" spans="1:4" x14ac:dyDescent="0.3">
      <c r="A214" s="18"/>
      <c r="B214" s="6"/>
      <c r="C214" s="7"/>
      <c r="D214" s="19"/>
    </row>
    <row r="215" spans="1:4" x14ac:dyDescent="0.3">
      <c r="A215" s="26" t="s">
        <v>16</v>
      </c>
      <c r="B215" s="27"/>
      <c r="C215" s="28">
        <f>'ROL DE AGOSTO'!F29</f>
        <v>553</v>
      </c>
      <c r="D215" s="29"/>
    </row>
    <row r="216" spans="1:4" x14ac:dyDescent="0.3">
      <c r="A216" s="26" t="s">
        <v>105</v>
      </c>
      <c r="B216" s="27"/>
      <c r="C216" s="28"/>
      <c r="D216" s="29"/>
    </row>
    <row r="217" spans="1:4" x14ac:dyDescent="0.3">
      <c r="A217" s="26" t="s">
        <v>8</v>
      </c>
      <c r="B217" s="27"/>
      <c r="C217" s="28"/>
      <c r="D217" s="29"/>
    </row>
    <row r="218" spans="1:4" x14ac:dyDescent="0.3">
      <c r="A218" s="26" t="s">
        <v>9</v>
      </c>
      <c r="B218" s="27"/>
      <c r="C218" s="28"/>
      <c r="D218" s="29"/>
    </row>
    <row r="219" spans="1:4" ht="24" x14ac:dyDescent="0.3">
      <c r="A219" s="26"/>
      <c r="B219" s="27" t="s">
        <v>10</v>
      </c>
      <c r="C219" s="28"/>
      <c r="D219" s="29">
        <f>'ROL DE AGOSTO'!L29</f>
        <v>52.258499999999991</v>
      </c>
    </row>
    <row r="220" spans="1:4" ht="24" x14ac:dyDescent="0.3">
      <c r="A220" s="26"/>
      <c r="B220" s="27" t="s">
        <v>304</v>
      </c>
      <c r="C220" s="28"/>
      <c r="D220" s="29">
        <f>'ROL DE AGOSTO'!O29</f>
        <v>0</v>
      </c>
    </row>
    <row r="221" spans="1:4" x14ac:dyDescent="0.3">
      <c r="A221" s="26"/>
      <c r="B221" s="27" t="s">
        <v>55</v>
      </c>
      <c r="C221" s="28"/>
      <c r="D221" s="29">
        <f>'ROL DE AGOSTO'!S29</f>
        <v>0</v>
      </c>
    </row>
    <row r="222" spans="1:4" ht="24" x14ac:dyDescent="0.3">
      <c r="A222" s="26"/>
      <c r="B222" s="27" t="s">
        <v>18</v>
      </c>
      <c r="C222" s="28"/>
      <c r="D222" s="29">
        <f>'ROL DE AGOSTO'!P29</f>
        <v>0</v>
      </c>
    </row>
    <row r="223" spans="1:4" x14ac:dyDescent="0.3">
      <c r="A223" s="207"/>
      <c r="B223" s="208" t="s">
        <v>12</v>
      </c>
      <c r="C223" s="209">
        <f>SUM(C215:C222)</f>
        <v>553</v>
      </c>
      <c r="D223" s="210">
        <f>SUM(D215:D222)</f>
        <v>52.258499999999991</v>
      </c>
    </row>
    <row r="224" spans="1:4" ht="28.2" x14ac:dyDescent="0.3">
      <c r="A224" s="21"/>
      <c r="B224" s="45"/>
      <c r="C224" s="211" t="s">
        <v>13</v>
      </c>
      <c r="D224" s="212">
        <f>+C223-D223</f>
        <v>500.74150000000003</v>
      </c>
    </row>
    <row r="225" spans="1:4" ht="15" thickBot="1" x14ac:dyDescent="0.35">
      <c r="A225" s="23"/>
      <c r="B225" s="4" t="s">
        <v>14</v>
      </c>
      <c r="C225" s="2"/>
      <c r="D225" s="24"/>
    </row>
    <row r="226" spans="1:4" x14ac:dyDescent="0.3">
      <c r="A226" s="213" t="s">
        <v>28</v>
      </c>
      <c r="B226" s="213" t="s">
        <v>93</v>
      </c>
      <c r="C226" s="348" t="s">
        <v>30</v>
      </c>
      <c r="D226" s="349"/>
    </row>
    <row r="227" spans="1:4" x14ac:dyDescent="0.3">
      <c r="A227" s="37"/>
      <c r="B227" s="34"/>
      <c r="C227" s="32"/>
      <c r="D227" s="25"/>
    </row>
    <row r="228" spans="1:4" x14ac:dyDescent="0.3">
      <c r="A228" s="37"/>
      <c r="B228" s="34"/>
      <c r="C228" s="32"/>
      <c r="D228" s="25"/>
    </row>
    <row r="229" spans="1:4" x14ac:dyDescent="0.3">
      <c r="A229" s="37"/>
      <c r="B229" s="34"/>
      <c r="C229" s="32"/>
      <c r="D229" s="25"/>
    </row>
    <row r="230" spans="1:4" x14ac:dyDescent="0.3">
      <c r="A230" s="37"/>
      <c r="B230" s="34"/>
      <c r="C230" s="32"/>
      <c r="D230" s="25"/>
    </row>
    <row r="231" spans="1:4" x14ac:dyDescent="0.3">
      <c r="A231" s="37"/>
      <c r="B231" s="34"/>
      <c r="C231" s="32"/>
      <c r="D231" s="25"/>
    </row>
    <row r="232" spans="1:4" x14ac:dyDescent="0.3">
      <c r="A232" s="38" t="s">
        <v>298</v>
      </c>
      <c r="B232" s="35" t="s">
        <v>297</v>
      </c>
      <c r="C232" s="290" t="str">
        <f>'ROL INDIVIDUAL'!B208</f>
        <v>AREVALO VILLACRES MONICA LETICIA</v>
      </c>
      <c r="D232" s="291"/>
    </row>
    <row r="233" spans="1:4" ht="15" thickBot="1" x14ac:dyDescent="0.35">
      <c r="A233" s="36" t="s">
        <v>246</v>
      </c>
      <c r="B233" s="33" t="s">
        <v>299</v>
      </c>
      <c r="C233" s="353" t="str">
        <f>B209</f>
        <v>2250187560</v>
      </c>
      <c r="D233" s="354"/>
    </row>
    <row r="234" spans="1:4" x14ac:dyDescent="0.3">
      <c r="A234" s="214"/>
      <c r="B234" s="58"/>
      <c r="C234" s="59"/>
      <c r="D234" s="215"/>
    </row>
    <row r="235" spans="1:4" ht="15" thickBot="1" x14ac:dyDescent="0.35">
      <c r="A235" s="214"/>
      <c r="B235" s="58"/>
      <c r="C235" s="59"/>
      <c r="D235" s="215"/>
    </row>
    <row r="236" spans="1:4" x14ac:dyDescent="0.3">
      <c r="A236" s="294"/>
      <c r="B236" s="295"/>
      <c r="C236" s="295"/>
      <c r="D236" s="296"/>
    </row>
    <row r="237" spans="1:4" x14ac:dyDescent="0.3">
      <c r="A237" s="307"/>
      <c r="B237" s="308"/>
      <c r="C237" s="308"/>
      <c r="D237" s="309"/>
    </row>
    <row r="238" spans="1:4" ht="15" thickBot="1" x14ac:dyDescent="0.35">
      <c r="A238" s="307"/>
      <c r="B238" s="308"/>
      <c r="C238" s="308"/>
      <c r="D238" s="309"/>
    </row>
    <row r="239" spans="1:4" ht="25.8" thickBot="1" x14ac:dyDescent="0.35">
      <c r="A239" s="350" t="s">
        <v>0</v>
      </c>
      <c r="B239" s="351"/>
      <c r="C239" s="351"/>
      <c r="D239" s="352"/>
    </row>
    <row r="240" spans="1:4" x14ac:dyDescent="0.3">
      <c r="A240" s="11" t="s">
        <v>1</v>
      </c>
      <c r="B240" s="3" t="str">
        <f>'ROL DE AGOSTO'!D30</f>
        <v>CHALCO HURTADO WILMER HERNANDO</v>
      </c>
      <c r="C240" s="3"/>
      <c r="D240" s="12"/>
    </row>
    <row r="241" spans="1:4" x14ac:dyDescent="0.3">
      <c r="A241" s="11" t="s">
        <v>2</v>
      </c>
      <c r="B241" s="218" t="str">
        <f>'ROL DE AGOSTO'!C30</f>
        <v>0702864372</v>
      </c>
      <c r="C241" s="4"/>
      <c r="D241" s="13"/>
    </row>
    <row r="242" spans="1:4" x14ac:dyDescent="0.3">
      <c r="A242" s="11" t="s">
        <v>3</v>
      </c>
      <c r="B242" s="3" t="str">
        <f>'ROL DE AGOSTO'!E30</f>
        <v>OPERADOR EXCAVADORA</v>
      </c>
      <c r="C242" s="4"/>
      <c r="D242" s="14"/>
    </row>
    <row r="243" spans="1:4" x14ac:dyDescent="0.3">
      <c r="A243" s="11" t="s">
        <v>26</v>
      </c>
      <c r="B243" s="3">
        <f>'ROL DE AGOSTO'!A212</f>
        <v>0</v>
      </c>
      <c r="C243" s="4"/>
      <c r="D243" s="15"/>
    </row>
    <row r="244" spans="1:4" x14ac:dyDescent="0.3">
      <c r="A244" s="11" t="s">
        <v>99</v>
      </c>
      <c r="B244" s="55">
        <f>'ROL DE AGOSTO'!B211</f>
        <v>0</v>
      </c>
      <c r="C244" s="4"/>
      <c r="D244" s="15"/>
    </row>
    <row r="245" spans="1:4" x14ac:dyDescent="0.3">
      <c r="A245" s="203" t="s">
        <v>94</v>
      </c>
      <c r="B245" s="204"/>
      <c r="C245" s="205" t="s">
        <v>5</v>
      </c>
      <c r="D245" s="206" t="s">
        <v>6</v>
      </c>
    </row>
    <row r="246" spans="1:4" x14ac:dyDescent="0.3">
      <c r="A246" s="18"/>
      <c r="B246" s="6"/>
      <c r="C246" s="7"/>
      <c r="D246" s="19"/>
    </row>
    <row r="247" spans="1:4" x14ac:dyDescent="0.3">
      <c r="A247" s="26" t="s">
        <v>16</v>
      </c>
      <c r="B247" s="27"/>
      <c r="C247" s="28">
        <f>'ROL DE AGOSTO'!F30</f>
        <v>708</v>
      </c>
      <c r="D247" s="29"/>
    </row>
    <row r="248" spans="1:4" x14ac:dyDescent="0.3">
      <c r="A248" s="26" t="s">
        <v>105</v>
      </c>
      <c r="B248" s="27"/>
      <c r="C248" s="28"/>
      <c r="D248" s="29"/>
    </row>
    <row r="249" spans="1:4" x14ac:dyDescent="0.3">
      <c r="A249" s="26" t="s">
        <v>8</v>
      </c>
      <c r="B249" s="27"/>
      <c r="C249" s="28"/>
      <c r="D249" s="29"/>
    </row>
    <row r="250" spans="1:4" x14ac:dyDescent="0.3">
      <c r="A250" s="26" t="s">
        <v>9</v>
      </c>
      <c r="B250" s="27"/>
      <c r="C250" s="28"/>
      <c r="D250" s="29"/>
    </row>
    <row r="251" spans="1:4" ht="24" x14ac:dyDescent="0.3">
      <c r="A251" s="26"/>
      <c r="B251" s="27" t="s">
        <v>10</v>
      </c>
      <c r="C251" s="28"/>
      <c r="D251" s="29">
        <f>'ROL DE AGOSTO'!L30</f>
        <v>66.905999999999992</v>
      </c>
    </row>
    <row r="252" spans="1:4" ht="24" x14ac:dyDescent="0.3">
      <c r="A252" s="26"/>
      <c r="B252" s="27" t="s">
        <v>11</v>
      </c>
      <c r="C252" s="28"/>
      <c r="D252" s="29">
        <f>'ROL DE AGOSTO'!O30</f>
        <v>0</v>
      </c>
    </row>
    <row r="253" spans="1:4" x14ac:dyDescent="0.3">
      <c r="A253" s="26"/>
      <c r="B253" s="27" t="s">
        <v>55</v>
      </c>
      <c r="C253" s="28"/>
      <c r="D253" s="29">
        <f>'ROL DE AGOSTO'!S30</f>
        <v>157.33333333333334</v>
      </c>
    </row>
    <row r="254" spans="1:4" ht="24" x14ac:dyDescent="0.3">
      <c r="A254" s="26"/>
      <c r="B254" s="27" t="s">
        <v>18</v>
      </c>
      <c r="C254" s="28"/>
      <c r="D254" s="29">
        <f>'ROL DE AGOSTO'!P30</f>
        <v>0</v>
      </c>
    </row>
    <row r="255" spans="1:4" x14ac:dyDescent="0.3">
      <c r="A255" s="207"/>
      <c r="B255" s="208" t="s">
        <v>12</v>
      </c>
      <c r="C255" s="209">
        <f>SUM(C247:C254)</f>
        <v>708</v>
      </c>
      <c r="D255" s="210">
        <f>SUM(D247:D254)</f>
        <v>224.23933333333332</v>
      </c>
    </row>
    <row r="256" spans="1:4" ht="28.2" x14ac:dyDescent="0.3">
      <c r="A256" s="21"/>
      <c r="B256" s="45"/>
      <c r="C256" s="211" t="s">
        <v>13</v>
      </c>
      <c r="D256" s="212">
        <f>+C255-D255</f>
        <v>483.76066666666668</v>
      </c>
    </row>
    <row r="257" spans="1:4" ht="15" thickBot="1" x14ac:dyDescent="0.35">
      <c r="A257" s="23"/>
      <c r="B257" s="4" t="s">
        <v>14</v>
      </c>
      <c r="C257" s="2"/>
      <c r="D257" s="24"/>
    </row>
    <row r="258" spans="1:4" x14ac:dyDescent="0.3">
      <c r="A258" s="213" t="s">
        <v>28</v>
      </c>
      <c r="B258" s="213" t="s">
        <v>93</v>
      </c>
      <c r="C258" s="348" t="s">
        <v>30</v>
      </c>
      <c r="D258" s="349"/>
    </row>
    <row r="259" spans="1:4" x14ac:dyDescent="0.3">
      <c r="A259" s="37"/>
      <c r="B259" s="34"/>
      <c r="C259" s="32"/>
      <c r="D259" s="25"/>
    </row>
    <row r="260" spans="1:4" x14ac:dyDescent="0.3">
      <c r="A260" s="37"/>
      <c r="B260" s="34"/>
      <c r="C260" s="32"/>
      <c r="D260" s="25"/>
    </row>
    <row r="261" spans="1:4" x14ac:dyDescent="0.3">
      <c r="A261" s="37"/>
      <c r="B261" s="34"/>
      <c r="C261" s="32"/>
      <c r="D261" s="25"/>
    </row>
    <row r="262" spans="1:4" x14ac:dyDescent="0.3">
      <c r="A262" s="37"/>
      <c r="B262" s="34"/>
      <c r="C262" s="32"/>
      <c r="D262" s="25"/>
    </row>
    <row r="263" spans="1:4" x14ac:dyDescent="0.3">
      <c r="A263" s="37"/>
      <c r="B263" s="34"/>
      <c r="C263" s="32"/>
      <c r="D263" s="25"/>
    </row>
    <row r="264" spans="1:4" x14ac:dyDescent="0.3">
      <c r="A264" s="38" t="s">
        <v>298</v>
      </c>
      <c r="B264" s="35" t="s">
        <v>297</v>
      </c>
      <c r="C264" s="290" t="str">
        <f>B240</f>
        <v>CHALCO HURTADO WILMER HERNANDO</v>
      </c>
      <c r="D264" s="291"/>
    </row>
    <row r="265" spans="1:4" ht="15" thickBot="1" x14ac:dyDescent="0.35">
      <c r="A265" s="36" t="s">
        <v>246</v>
      </c>
      <c r="B265" s="33" t="s">
        <v>299</v>
      </c>
      <c r="C265" s="353" t="str">
        <f>B241</f>
        <v>0702864372</v>
      </c>
      <c r="D265" s="354"/>
    </row>
    <row r="273" spans="1:4" ht="15" thickBot="1" x14ac:dyDescent="0.35"/>
    <row r="274" spans="1:4" x14ac:dyDescent="0.3">
      <c r="A274" s="294"/>
      <c r="B274" s="295"/>
      <c r="C274" s="295"/>
      <c r="D274" s="296"/>
    </row>
    <row r="275" spans="1:4" x14ac:dyDescent="0.3">
      <c r="A275" s="307"/>
      <c r="B275" s="308"/>
      <c r="C275" s="308"/>
      <c r="D275" s="309"/>
    </row>
    <row r="276" spans="1:4" ht="15" thickBot="1" x14ac:dyDescent="0.35">
      <c r="A276" s="307"/>
      <c r="B276" s="308"/>
      <c r="C276" s="308"/>
      <c r="D276" s="309"/>
    </row>
    <row r="277" spans="1:4" ht="25.8" thickBot="1" x14ac:dyDescent="0.35">
      <c r="A277" s="350" t="s">
        <v>0</v>
      </c>
      <c r="B277" s="351"/>
      <c r="C277" s="351"/>
      <c r="D277" s="352"/>
    </row>
    <row r="278" spans="1:4" x14ac:dyDescent="0.3">
      <c r="A278" s="11" t="s">
        <v>1</v>
      </c>
      <c r="B278" s="3" t="str">
        <f>'ROL DE AGOSTO'!D31</f>
        <v>PAPA COQUINCHE JUAN LEVINGSTONE</v>
      </c>
      <c r="C278" s="3"/>
      <c r="D278" s="12"/>
    </row>
    <row r="279" spans="1:4" x14ac:dyDescent="0.3">
      <c r="A279" s="11" t="s">
        <v>2</v>
      </c>
      <c r="B279" s="218" t="str">
        <f>'ROL DE AGOSTO'!C31</f>
        <v>1500709041</v>
      </c>
      <c r="C279" s="4"/>
      <c r="D279" s="13"/>
    </row>
    <row r="280" spans="1:4" x14ac:dyDescent="0.3">
      <c r="A280" s="11" t="s">
        <v>3</v>
      </c>
      <c r="B280" s="3" t="str">
        <f>'ROL DE AGOSTO'!E31</f>
        <v>OPERADOR MAQUINARIA AGRICOLA</v>
      </c>
      <c r="C280" s="4"/>
      <c r="D280" s="14"/>
    </row>
    <row r="281" spans="1:4" x14ac:dyDescent="0.3">
      <c r="A281" s="11" t="s">
        <v>26</v>
      </c>
      <c r="B281" s="3" t="str">
        <f>'ROL DE AGOSTO'!A31</f>
        <v>AGOSTO</v>
      </c>
      <c r="C281" s="4"/>
      <c r="D281" s="15"/>
    </row>
    <row r="282" spans="1:4" x14ac:dyDescent="0.3">
      <c r="A282" s="11" t="s">
        <v>99</v>
      </c>
      <c r="B282" s="55">
        <f>'ROL DE AGOSTO'!B31</f>
        <v>2023</v>
      </c>
      <c r="C282" s="4"/>
      <c r="D282" s="15"/>
    </row>
    <row r="283" spans="1:4" x14ac:dyDescent="0.3">
      <c r="A283" s="203" t="s">
        <v>94</v>
      </c>
      <c r="B283" s="204"/>
      <c r="C283" s="205" t="s">
        <v>5</v>
      </c>
      <c r="D283" s="206" t="s">
        <v>6</v>
      </c>
    </row>
    <row r="284" spans="1:4" x14ac:dyDescent="0.3">
      <c r="A284" s="18"/>
      <c r="B284" s="6"/>
      <c r="C284" s="7"/>
      <c r="D284" s="19"/>
    </row>
    <row r="285" spans="1:4" x14ac:dyDescent="0.3">
      <c r="A285" s="26" t="s">
        <v>16</v>
      </c>
      <c r="B285" s="27"/>
      <c r="C285" s="28">
        <f>'ROL DE AGOSTO'!F31</f>
        <v>566</v>
      </c>
      <c r="D285" s="29"/>
    </row>
    <row r="286" spans="1:4" x14ac:dyDescent="0.3">
      <c r="A286" s="26" t="s">
        <v>105</v>
      </c>
      <c r="B286" s="27"/>
      <c r="C286" s="28"/>
      <c r="D286" s="29"/>
    </row>
    <row r="287" spans="1:4" x14ac:dyDescent="0.3">
      <c r="A287" s="26" t="s">
        <v>8</v>
      </c>
      <c r="B287" s="27"/>
      <c r="C287" s="28"/>
      <c r="D287" s="29"/>
    </row>
    <row r="288" spans="1:4" x14ac:dyDescent="0.3">
      <c r="A288" s="26" t="s">
        <v>9</v>
      </c>
      <c r="B288" s="27"/>
      <c r="C288" s="28"/>
      <c r="D288" s="29"/>
    </row>
    <row r="289" spans="1:4" ht="24" x14ac:dyDescent="0.3">
      <c r="A289" s="26"/>
      <c r="B289" s="27" t="s">
        <v>10</v>
      </c>
      <c r="C289" s="28"/>
      <c r="D289" s="29">
        <f>'ROL DE AGOSTO'!L31</f>
        <v>53.486999999999995</v>
      </c>
    </row>
    <row r="290" spans="1:4" ht="24" x14ac:dyDescent="0.3">
      <c r="A290" s="26"/>
      <c r="B290" s="27" t="s">
        <v>11</v>
      </c>
      <c r="C290" s="28"/>
      <c r="D290" s="29">
        <f>'ROL DE AGOSTO'!O31</f>
        <v>89.85</v>
      </c>
    </row>
    <row r="291" spans="1:4" x14ac:dyDescent="0.3">
      <c r="A291" s="26"/>
      <c r="B291" s="27" t="s">
        <v>55</v>
      </c>
      <c r="C291" s="28"/>
      <c r="D291" s="29">
        <f>'ROL DE AGOSTO'!S31</f>
        <v>283</v>
      </c>
    </row>
    <row r="292" spans="1:4" ht="24" x14ac:dyDescent="0.3">
      <c r="A292" s="26"/>
      <c r="B292" s="27" t="s">
        <v>18</v>
      </c>
      <c r="C292" s="28"/>
      <c r="D292" s="29">
        <f>'ROL DE AGOSTO'!P31</f>
        <v>0</v>
      </c>
    </row>
    <row r="293" spans="1:4" x14ac:dyDescent="0.3">
      <c r="A293" s="207"/>
      <c r="B293" s="208" t="s">
        <v>12</v>
      </c>
      <c r="C293" s="209">
        <f>SUM(C285:C292)</f>
        <v>566</v>
      </c>
      <c r="D293" s="210">
        <f>SUM(D285:D292)</f>
        <v>426.33699999999999</v>
      </c>
    </row>
    <row r="294" spans="1:4" ht="28.2" x14ac:dyDescent="0.3">
      <c r="A294" s="21"/>
      <c r="B294" s="45"/>
      <c r="C294" s="211" t="s">
        <v>13</v>
      </c>
      <c r="D294" s="212">
        <f>+C293-D293</f>
        <v>139.66300000000001</v>
      </c>
    </row>
    <row r="295" spans="1:4" ht="15" thickBot="1" x14ac:dyDescent="0.35">
      <c r="A295" s="23"/>
      <c r="B295" s="4" t="s">
        <v>14</v>
      </c>
      <c r="C295" s="2"/>
      <c r="D295" s="24"/>
    </row>
    <row r="296" spans="1:4" x14ac:dyDescent="0.3">
      <c r="A296" s="213" t="s">
        <v>28</v>
      </c>
      <c r="B296" s="213" t="s">
        <v>93</v>
      </c>
      <c r="C296" s="348" t="s">
        <v>30</v>
      </c>
      <c r="D296" s="349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7"/>
      <c r="B299" s="34"/>
      <c r="C299" s="32"/>
      <c r="D299" s="25"/>
    </row>
    <row r="300" spans="1:4" x14ac:dyDescent="0.3">
      <c r="A300" s="37"/>
      <c r="B300" s="34"/>
      <c r="C300" s="32"/>
      <c r="D300" s="25"/>
    </row>
    <row r="301" spans="1:4" x14ac:dyDescent="0.3">
      <c r="A301" s="37"/>
      <c r="B301" s="34"/>
      <c r="C301" s="32"/>
      <c r="D301" s="25"/>
    </row>
    <row r="302" spans="1:4" x14ac:dyDescent="0.3">
      <c r="A302" s="38" t="s">
        <v>298</v>
      </c>
      <c r="B302" s="35" t="s">
        <v>297</v>
      </c>
      <c r="C302" s="290" t="str">
        <f>'ROL INDIVIDUAL'!B278</f>
        <v>PAPA COQUINCHE JUAN LEVINGSTONE</v>
      </c>
      <c r="D302" s="291"/>
    </row>
    <row r="303" spans="1:4" ht="15" thickBot="1" x14ac:dyDescent="0.35">
      <c r="A303" s="36" t="s">
        <v>246</v>
      </c>
      <c r="B303" s="33" t="s">
        <v>299</v>
      </c>
      <c r="C303" s="353" t="str">
        <f>B279</f>
        <v>1500709041</v>
      </c>
      <c r="D303" s="354"/>
    </row>
    <row r="304" spans="1:4" x14ac:dyDescent="0.3">
      <c r="A304" s="214"/>
      <c r="B304" s="58"/>
      <c r="C304" s="59"/>
      <c r="D304" s="215"/>
    </row>
    <row r="305" spans="1:4" ht="15" thickBot="1" x14ac:dyDescent="0.35">
      <c r="A305" s="214"/>
      <c r="B305" s="58"/>
      <c r="C305" s="59"/>
      <c r="D305" s="215"/>
    </row>
    <row r="306" spans="1:4" x14ac:dyDescent="0.3">
      <c r="A306" s="294"/>
      <c r="B306" s="295"/>
      <c r="C306" s="295"/>
      <c r="D306" s="296"/>
    </row>
    <row r="307" spans="1:4" x14ac:dyDescent="0.3">
      <c r="A307" s="307"/>
      <c r="B307" s="308"/>
      <c r="C307" s="308"/>
      <c r="D307" s="309"/>
    </row>
    <row r="308" spans="1:4" ht="15" thickBot="1" x14ac:dyDescent="0.35">
      <c r="A308" s="307"/>
      <c r="B308" s="308"/>
      <c r="C308" s="308"/>
      <c r="D308" s="309"/>
    </row>
    <row r="309" spans="1:4" ht="25.8" thickBot="1" x14ac:dyDescent="0.35">
      <c r="A309" s="350" t="s">
        <v>0</v>
      </c>
      <c r="B309" s="351"/>
      <c r="C309" s="351"/>
      <c r="D309" s="352"/>
    </row>
    <row r="310" spans="1:4" x14ac:dyDescent="0.3">
      <c r="A310" s="11" t="s">
        <v>1</v>
      </c>
      <c r="B310" s="3" t="str">
        <f>'ROL DE AGOSTO'!D32</f>
        <v>VASQUEZ PUETATE XAVIER IVAN</v>
      </c>
      <c r="C310" s="3"/>
      <c r="D310" s="12"/>
    </row>
    <row r="311" spans="1:4" x14ac:dyDescent="0.3">
      <c r="A311" s="11" t="s">
        <v>2</v>
      </c>
      <c r="B311" s="218" t="str">
        <f>'ROL DE AGOSTO'!C32</f>
        <v>1712044146</v>
      </c>
      <c r="C311" s="4"/>
      <c r="D311" s="13"/>
    </row>
    <row r="312" spans="1:4" x14ac:dyDescent="0.3">
      <c r="A312" s="11" t="s">
        <v>3</v>
      </c>
      <c r="B312" s="3" t="str">
        <f>'ROL DE AGOSTO'!E32</f>
        <v>CONDUCTOR</v>
      </c>
      <c r="C312" s="4"/>
      <c r="D312" s="14"/>
    </row>
    <row r="313" spans="1:4" x14ac:dyDescent="0.3">
      <c r="A313" s="11" t="s">
        <v>26</v>
      </c>
      <c r="B313" s="3" t="str">
        <f>'ROL DE AGOSTO'!A32</f>
        <v>AGOSTO</v>
      </c>
      <c r="C313" s="4"/>
      <c r="D313" s="15"/>
    </row>
    <row r="314" spans="1:4" x14ac:dyDescent="0.3">
      <c r="A314" s="11" t="s">
        <v>99</v>
      </c>
      <c r="B314" s="55">
        <f>'ROL DE AGOSTO'!B32</f>
        <v>2023</v>
      </c>
      <c r="C314" s="4"/>
      <c r="D314" s="15"/>
    </row>
    <row r="315" spans="1:4" x14ac:dyDescent="0.3">
      <c r="A315" s="203" t="s">
        <v>94</v>
      </c>
      <c r="B315" s="204"/>
      <c r="C315" s="205" t="s">
        <v>5</v>
      </c>
      <c r="D315" s="206" t="s">
        <v>6</v>
      </c>
    </row>
    <row r="316" spans="1:4" x14ac:dyDescent="0.3">
      <c r="A316" s="18"/>
      <c r="B316" s="6"/>
      <c r="C316" s="7"/>
      <c r="D316" s="19"/>
    </row>
    <row r="317" spans="1:4" x14ac:dyDescent="0.3">
      <c r="A317" s="26" t="s">
        <v>16</v>
      </c>
      <c r="B317" s="27"/>
      <c r="C317" s="28">
        <f>'ROL DE AGOSTO'!F32</f>
        <v>584</v>
      </c>
      <c r="D317" s="29"/>
    </row>
    <row r="318" spans="1:4" x14ac:dyDescent="0.3">
      <c r="A318" s="26" t="s">
        <v>105</v>
      </c>
      <c r="B318" s="27"/>
      <c r="C318" s="28"/>
      <c r="D318" s="29"/>
    </row>
    <row r="319" spans="1:4" x14ac:dyDescent="0.3">
      <c r="A319" s="26" t="s">
        <v>8</v>
      </c>
      <c r="B319" s="27"/>
      <c r="C319" s="28"/>
      <c r="D319" s="29"/>
    </row>
    <row r="320" spans="1:4" x14ac:dyDescent="0.3">
      <c r="A320" s="26" t="s">
        <v>9</v>
      </c>
      <c r="B320" s="27"/>
      <c r="C320" s="28"/>
      <c r="D320" s="29"/>
    </row>
    <row r="321" spans="1:4" ht="24" x14ac:dyDescent="0.3">
      <c r="A321" s="26"/>
      <c r="B321" s="27" t="s">
        <v>10</v>
      </c>
      <c r="C321" s="28"/>
      <c r="D321" s="29">
        <f>'ROL DE AGOSTO'!L32</f>
        <v>55.187999999999995</v>
      </c>
    </row>
    <row r="322" spans="1:4" ht="24" x14ac:dyDescent="0.3">
      <c r="A322" s="26"/>
      <c r="B322" s="27" t="s">
        <v>307</v>
      </c>
      <c r="C322" s="28"/>
      <c r="D322" s="29">
        <f>'ROL DE AGOSTO'!O32</f>
        <v>70.42</v>
      </c>
    </row>
    <row r="323" spans="1:4" x14ac:dyDescent="0.3">
      <c r="A323" s="26"/>
      <c r="B323" s="27" t="s">
        <v>55</v>
      </c>
      <c r="C323" s="28"/>
      <c r="D323" s="29">
        <f>'ROL DE AGOSTO'!S32</f>
        <v>292</v>
      </c>
    </row>
    <row r="324" spans="1:4" x14ac:dyDescent="0.3">
      <c r="A324" s="26"/>
      <c r="B324" s="27" t="s">
        <v>306</v>
      </c>
      <c r="C324" s="28"/>
      <c r="D324" s="29">
        <f>'ROL DE AGOSTO'!Q32</f>
        <v>66.75</v>
      </c>
    </row>
    <row r="325" spans="1:4" x14ac:dyDescent="0.3">
      <c r="A325" s="207"/>
      <c r="B325" s="208" t="s">
        <v>12</v>
      </c>
      <c r="C325" s="209">
        <f>SUM(C317:C324)</f>
        <v>584</v>
      </c>
      <c r="D325" s="210">
        <f>SUM(D317:D324)</f>
        <v>484.358</v>
      </c>
    </row>
    <row r="326" spans="1:4" ht="28.2" x14ac:dyDescent="0.3">
      <c r="A326" s="21"/>
      <c r="B326" s="45"/>
      <c r="C326" s="211" t="s">
        <v>13</v>
      </c>
      <c r="D326" s="212">
        <f>+C325-D325</f>
        <v>99.641999999999996</v>
      </c>
    </row>
    <row r="327" spans="1:4" ht="15" thickBot="1" x14ac:dyDescent="0.35">
      <c r="A327" s="23"/>
      <c r="B327" s="4" t="s">
        <v>14</v>
      </c>
      <c r="C327" s="2"/>
      <c r="D327" s="24"/>
    </row>
    <row r="328" spans="1:4" x14ac:dyDescent="0.3">
      <c r="A328" s="213" t="s">
        <v>28</v>
      </c>
      <c r="B328" s="213" t="s">
        <v>93</v>
      </c>
      <c r="C328" s="348" t="s">
        <v>30</v>
      </c>
      <c r="D328" s="349"/>
    </row>
    <row r="329" spans="1:4" x14ac:dyDescent="0.3">
      <c r="A329" s="37"/>
      <c r="B329" s="34"/>
      <c r="C329" s="32"/>
      <c r="D329" s="25"/>
    </row>
    <row r="330" spans="1:4" x14ac:dyDescent="0.3">
      <c r="A330" s="37"/>
      <c r="B330" s="34"/>
      <c r="C330" s="32"/>
      <c r="D330" s="25"/>
    </row>
    <row r="331" spans="1:4" x14ac:dyDescent="0.3">
      <c r="A331" s="37"/>
      <c r="B331" s="34"/>
      <c r="C331" s="32"/>
      <c r="D331" s="25"/>
    </row>
    <row r="332" spans="1:4" x14ac:dyDescent="0.3">
      <c r="A332" s="37"/>
      <c r="B332" s="34"/>
      <c r="C332" s="32"/>
      <c r="D332" s="25"/>
    </row>
    <row r="333" spans="1:4" x14ac:dyDescent="0.3">
      <c r="A333" s="37"/>
      <c r="B333" s="34"/>
      <c r="C333" s="32"/>
      <c r="D333" s="25"/>
    </row>
    <row r="334" spans="1:4" x14ac:dyDescent="0.3">
      <c r="A334" s="38" t="s">
        <v>298</v>
      </c>
      <c r="B334" s="35" t="s">
        <v>297</v>
      </c>
      <c r="C334" s="290" t="str">
        <f>B310</f>
        <v>VASQUEZ PUETATE XAVIER IVAN</v>
      </c>
      <c r="D334" s="291"/>
    </row>
    <row r="335" spans="1:4" ht="15" thickBot="1" x14ac:dyDescent="0.35">
      <c r="A335" s="36" t="s">
        <v>246</v>
      </c>
      <c r="B335" s="33" t="s">
        <v>299</v>
      </c>
      <c r="C335" s="353" t="str">
        <f>B311</f>
        <v>1712044146</v>
      </c>
      <c r="D335" s="354"/>
    </row>
    <row r="343" spans="1:4" ht="15" thickBot="1" x14ac:dyDescent="0.35"/>
    <row r="344" spans="1:4" x14ac:dyDescent="0.3">
      <c r="A344" s="294"/>
      <c r="B344" s="295"/>
      <c r="C344" s="295"/>
      <c r="D344" s="296"/>
    </row>
    <row r="345" spans="1:4" x14ac:dyDescent="0.3">
      <c r="A345" s="307"/>
      <c r="B345" s="308"/>
      <c r="C345" s="308"/>
      <c r="D345" s="309"/>
    </row>
    <row r="346" spans="1:4" ht="15" thickBot="1" x14ac:dyDescent="0.35">
      <c r="A346" s="307"/>
      <c r="B346" s="308"/>
      <c r="C346" s="308"/>
      <c r="D346" s="309"/>
    </row>
    <row r="347" spans="1:4" ht="25.8" thickBot="1" x14ac:dyDescent="0.35">
      <c r="A347" s="350" t="s">
        <v>0</v>
      </c>
      <c r="B347" s="351"/>
      <c r="C347" s="351"/>
      <c r="D347" s="352"/>
    </row>
    <row r="348" spans="1:4" x14ac:dyDescent="0.3">
      <c r="A348" s="11" t="s">
        <v>1</v>
      </c>
      <c r="B348" s="3" t="str">
        <f>'ROL DE AGOSTO'!D33</f>
        <v>VELEZ MOREIRA HECTOR ANTONIO</v>
      </c>
      <c r="C348" s="3"/>
      <c r="D348" s="12"/>
    </row>
    <row r="349" spans="1:4" x14ac:dyDescent="0.3">
      <c r="A349" s="11" t="s">
        <v>2</v>
      </c>
      <c r="B349" s="55" t="str">
        <f>'ROL DE AGOSTO'!C33</f>
        <v>1308691953</v>
      </c>
      <c r="C349" s="4"/>
      <c r="D349" s="13"/>
    </row>
    <row r="350" spans="1:4" x14ac:dyDescent="0.3">
      <c r="A350" s="11" t="s">
        <v>3</v>
      </c>
      <c r="B350" s="3" t="str">
        <f>'ROL DE AGOSTO'!E33</f>
        <v>TRABAJADOR AMBIENTAL</v>
      </c>
      <c r="C350" s="4"/>
      <c r="D350" s="14"/>
    </row>
    <row r="351" spans="1:4" x14ac:dyDescent="0.3">
      <c r="A351" s="11" t="s">
        <v>26</v>
      </c>
      <c r="B351" s="3" t="str">
        <f>'ROL DE AGOSTO'!A33</f>
        <v>AGOSTO</v>
      </c>
      <c r="C351" s="4"/>
      <c r="D351" s="15"/>
    </row>
    <row r="352" spans="1:4" x14ac:dyDescent="0.3">
      <c r="A352" s="11" t="s">
        <v>99</v>
      </c>
      <c r="B352" s="55">
        <f>'ROL DE AGOSTO'!B33</f>
        <v>2023</v>
      </c>
      <c r="C352" s="4"/>
      <c r="D352" s="15"/>
    </row>
    <row r="353" spans="1:4" x14ac:dyDescent="0.3">
      <c r="A353" s="203" t="s">
        <v>94</v>
      </c>
      <c r="B353" s="204"/>
      <c r="C353" s="205" t="s">
        <v>5</v>
      </c>
      <c r="D353" s="206" t="s">
        <v>6</v>
      </c>
    </row>
    <row r="354" spans="1:4" x14ac:dyDescent="0.3">
      <c r="A354" s="18"/>
      <c r="B354" s="6"/>
      <c r="C354" s="7"/>
      <c r="D354" s="19"/>
    </row>
    <row r="355" spans="1:4" x14ac:dyDescent="0.3">
      <c r="A355" s="26" t="s">
        <v>16</v>
      </c>
      <c r="B355" s="27"/>
      <c r="C355" s="28">
        <f>'ROL DE AGOSTO'!F33</f>
        <v>527</v>
      </c>
      <c r="D355" s="29"/>
    </row>
    <row r="356" spans="1:4" x14ac:dyDescent="0.3">
      <c r="A356" s="26" t="s">
        <v>105</v>
      </c>
      <c r="B356" s="27"/>
      <c r="C356" s="28"/>
      <c r="D356" s="29"/>
    </row>
    <row r="357" spans="1:4" x14ac:dyDescent="0.3">
      <c r="A357" s="26" t="s">
        <v>8</v>
      </c>
      <c r="B357" s="27"/>
      <c r="C357" s="28"/>
      <c r="D357" s="29"/>
    </row>
    <row r="358" spans="1:4" x14ac:dyDescent="0.3">
      <c r="A358" s="26" t="s">
        <v>9</v>
      </c>
      <c r="B358" s="27"/>
      <c r="C358" s="28"/>
      <c r="D358" s="29"/>
    </row>
    <row r="359" spans="1:4" ht="24" x14ac:dyDescent="0.3">
      <c r="A359" s="26"/>
      <c r="B359" s="27" t="s">
        <v>10</v>
      </c>
      <c r="C359" s="28"/>
      <c r="D359" s="29">
        <f>'ROL DE AGOSTO'!L33</f>
        <v>49.80149999999999</v>
      </c>
    </row>
    <row r="360" spans="1:4" ht="24" x14ac:dyDescent="0.3">
      <c r="A360" s="26"/>
      <c r="B360" s="27" t="s">
        <v>11</v>
      </c>
      <c r="C360" s="28"/>
      <c r="D360" s="29">
        <f>'ROL DE AGOSTO'!O33</f>
        <v>0</v>
      </c>
    </row>
    <row r="361" spans="1:4" x14ac:dyDescent="0.3">
      <c r="A361" s="26"/>
      <c r="B361" s="27" t="s">
        <v>55</v>
      </c>
      <c r="C361" s="28"/>
      <c r="D361" s="29">
        <f>'ROL DE AGOSTO'!S33</f>
        <v>225.85714285714286</v>
      </c>
    </row>
    <row r="362" spans="1:4" ht="24" x14ac:dyDescent="0.3">
      <c r="A362" s="26"/>
      <c r="B362" s="27" t="s">
        <v>18</v>
      </c>
      <c r="C362" s="28"/>
      <c r="D362" s="29">
        <f>'ROL DE AGOSTO'!P33</f>
        <v>0</v>
      </c>
    </row>
    <row r="363" spans="1:4" x14ac:dyDescent="0.3">
      <c r="A363" s="207"/>
      <c r="B363" s="208" t="s">
        <v>12</v>
      </c>
      <c r="C363" s="209">
        <f>SUM(C355:C362)</f>
        <v>527</v>
      </c>
      <c r="D363" s="210">
        <f>SUM(D355:D362)</f>
        <v>275.65864285714287</v>
      </c>
    </row>
    <row r="364" spans="1:4" ht="28.2" x14ac:dyDescent="0.3">
      <c r="A364" s="21"/>
      <c r="B364" s="45"/>
      <c r="C364" s="211" t="s">
        <v>13</v>
      </c>
      <c r="D364" s="212">
        <f>+C363-D363</f>
        <v>251.34135714285713</v>
      </c>
    </row>
    <row r="365" spans="1:4" ht="15" thickBot="1" x14ac:dyDescent="0.35">
      <c r="A365" s="23"/>
      <c r="B365" s="4" t="s">
        <v>14</v>
      </c>
      <c r="C365" s="2"/>
      <c r="D365" s="24"/>
    </row>
    <row r="366" spans="1:4" x14ac:dyDescent="0.3">
      <c r="A366" s="213" t="s">
        <v>28</v>
      </c>
      <c r="B366" s="213" t="s">
        <v>93</v>
      </c>
      <c r="C366" s="348" t="s">
        <v>30</v>
      </c>
      <c r="D366" s="349"/>
    </row>
    <row r="367" spans="1:4" x14ac:dyDescent="0.3">
      <c r="A367" s="37"/>
      <c r="B367" s="34"/>
      <c r="C367" s="32"/>
      <c r="D367" s="25"/>
    </row>
    <row r="368" spans="1:4" x14ac:dyDescent="0.3">
      <c r="A368" s="37"/>
      <c r="B368" s="34"/>
      <c r="C368" s="32"/>
      <c r="D368" s="25"/>
    </row>
    <row r="369" spans="1:4" x14ac:dyDescent="0.3">
      <c r="A369" s="37"/>
      <c r="B369" s="34"/>
      <c r="C369" s="32"/>
      <c r="D369" s="25"/>
    </row>
    <row r="370" spans="1:4" x14ac:dyDescent="0.3">
      <c r="A370" s="37"/>
      <c r="B370" s="34"/>
      <c r="C370" s="32"/>
      <c r="D370" s="25"/>
    </row>
    <row r="371" spans="1:4" x14ac:dyDescent="0.3">
      <c r="A371" s="37"/>
      <c r="B371" s="34"/>
      <c r="C371" s="32"/>
      <c r="D371" s="25"/>
    </row>
    <row r="372" spans="1:4" x14ac:dyDescent="0.3">
      <c r="A372" s="38" t="s">
        <v>298</v>
      </c>
      <c r="B372" s="35" t="s">
        <v>297</v>
      </c>
      <c r="C372" s="290" t="str">
        <f>'ROL INDIVIDUAL'!B348</f>
        <v>VELEZ MOREIRA HECTOR ANTONIO</v>
      </c>
      <c r="D372" s="291"/>
    </row>
    <row r="373" spans="1:4" ht="15" thickBot="1" x14ac:dyDescent="0.35">
      <c r="A373" s="36" t="s">
        <v>246</v>
      </c>
      <c r="B373" s="33" t="s">
        <v>299</v>
      </c>
      <c r="C373" s="353" t="str">
        <f>B349</f>
        <v>1308691953</v>
      </c>
      <c r="D373" s="354"/>
    </row>
    <row r="374" spans="1:4" x14ac:dyDescent="0.3">
      <c r="A374" s="214"/>
      <c r="B374" s="58"/>
      <c r="C374" s="59"/>
      <c r="D374" s="215"/>
    </row>
    <row r="375" spans="1:4" ht="15" thickBot="1" x14ac:dyDescent="0.35">
      <c r="A375" s="214"/>
      <c r="B375" s="58"/>
      <c r="C375" s="59"/>
      <c r="D375" s="215"/>
    </row>
    <row r="376" spans="1:4" x14ac:dyDescent="0.3">
      <c r="A376" s="294"/>
      <c r="B376" s="295"/>
      <c r="C376" s="295"/>
      <c r="D376" s="296"/>
    </row>
    <row r="377" spans="1:4" x14ac:dyDescent="0.3">
      <c r="A377" s="307"/>
      <c r="B377" s="308"/>
      <c r="C377" s="308"/>
      <c r="D377" s="309"/>
    </row>
    <row r="378" spans="1:4" ht="15" thickBot="1" x14ac:dyDescent="0.35">
      <c r="A378" s="307"/>
      <c r="B378" s="308"/>
      <c r="C378" s="308"/>
      <c r="D378" s="309"/>
    </row>
    <row r="379" spans="1:4" ht="25.8" thickBot="1" x14ac:dyDescent="0.35">
      <c r="A379" s="350" t="s">
        <v>0</v>
      </c>
      <c r="B379" s="351"/>
      <c r="C379" s="351"/>
      <c r="D379" s="352"/>
    </row>
    <row r="380" spans="1:4" x14ac:dyDescent="0.3">
      <c r="A380" s="11" t="s">
        <v>1</v>
      </c>
      <c r="B380" s="3" t="str">
        <f>'ROL DE AGOSTO'!D34</f>
        <v>VILLEGAS CARVAJAL JESUS JOSE</v>
      </c>
      <c r="C380" s="3"/>
      <c r="D380" s="12"/>
    </row>
    <row r="381" spans="1:4" x14ac:dyDescent="0.3">
      <c r="A381" s="11" t="s">
        <v>2</v>
      </c>
      <c r="B381" s="218" t="str">
        <f>'ROL DE AGOSTO'!C34</f>
        <v>2200590038</v>
      </c>
      <c r="C381" s="4"/>
      <c r="D381" s="13"/>
    </row>
    <row r="382" spans="1:4" x14ac:dyDescent="0.3">
      <c r="A382" s="11" t="s">
        <v>3</v>
      </c>
      <c r="B382" s="3" t="str">
        <f>'ROL DE AGOSTO'!E34</f>
        <v>GUARDIA</v>
      </c>
      <c r="C382" s="4"/>
      <c r="D382" s="14"/>
    </row>
    <row r="383" spans="1:4" x14ac:dyDescent="0.3">
      <c r="A383" s="11" t="s">
        <v>26</v>
      </c>
      <c r="B383" s="3" t="str">
        <f>'ROL DE AGOSTO'!A34</f>
        <v>AGOSTO</v>
      </c>
      <c r="C383" s="4"/>
      <c r="D383" s="15"/>
    </row>
    <row r="384" spans="1:4" x14ac:dyDescent="0.3">
      <c r="A384" s="11" t="s">
        <v>99</v>
      </c>
      <c r="B384" s="55">
        <f>'ROL DE AGOSTO'!B34</f>
        <v>2023</v>
      </c>
      <c r="C384" s="4"/>
      <c r="D384" s="15"/>
    </row>
    <row r="385" spans="1:4" x14ac:dyDescent="0.3">
      <c r="A385" s="203" t="s">
        <v>94</v>
      </c>
      <c r="B385" s="204"/>
      <c r="C385" s="205" t="s">
        <v>5</v>
      </c>
      <c r="D385" s="206" t="s">
        <v>6</v>
      </c>
    </row>
    <row r="386" spans="1:4" x14ac:dyDescent="0.3">
      <c r="A386" s="18"/>
      <c r="B386" s="6"/>
      <c r="C386" s="7"/>
      <c r="D386" s="19"/>
    </row>
    <row r="387" spans="1:4" x14ac:dyDescent="0.3">
      <c r="A387" s="26" t="s">
        <v>16</v>
      </c>
      <c r="B387" s="27"/>
      <c r="C387" s="28">
        <f>'ROL DE AGOSTO'!F34</f>
        <v>500</v>
      </c>
      <c r="D387" s="29"/>
    </row>
    <row r="388" spans="1:4" x14ac:dyDescent="0.3">
      <c r="A388" s="26" t="s">
        <v>105</v>
      </c>
      <c r="B388" s="27"/>
      <c r="C388" s="28"/>
      <c r="D388" s="29"/>
    </row>
    <row r="389" spans="1:4" x14ac:dyDescent="0.3">
      <c r="A389" s="26" t="s">
        <v>8</v>
      </c>
      <c r="B389" s="27"/>
      <c r="C389" s="28"/>
      <c r="D389" s="29"/>
    </row>
    <row r="390" spans="1:4" x14ac:dyDescent="0.3">
      <c r="A390" s="26" t="s">
        <v>9</v>
      </c>
      <c r="B390" s="27"/>
      <c r="C390" s="28"/>
      <c r="D390" s="29"/>
    </row>
    <row r="391" spans="1:4" ht="24" x14ac:dyDescent="0.3">
      <c r="A391" s="26"/>
      <c r="B391" s="27" t="s">
        <v>10</v>
      </c>
      <c r="C391" s="28"/>
      <c r="D391" s="29">
        <f>'ROL DE AGOSTO'!L34</f>
        <v>47.249999999999993</v>
      </c>
    </row>
    <row r="392" spans="1:4" ht="24" x14ac:dyDescent="0.3">
      <c r="A392" s="26"/>
      <c r="B392" s="27" t="s">
        <v>11</v>
      </c>
      <c r="C392" s="28"/>
      <c r="D392" s="29">
        <f>'ROL DE AGOSTO'!O34</f>
        <v>29.04</v>
      </c>
    </row>
    <row r="393" spans="1:4" x14ac:dyDescent="0.3">
      <c r="A393" s="26"/>
      <c r="B393" s="27" t="s">
        <v>55</v>
      </c>
      <c r="C393" s="28"/>
      <c r="D393" s="29">
        <f>'ROL DE AGOSTO'!S34</f>
        <v>203.9</v>
      </c>
    </row>
    <row r="394" spans="1:4" ht="24" x14ac:dyDescent="0.3">
      <c r="A394" s="26"/>
      <c r="B394" s="27" t="s">
        <v>18</v>
      </c>
      <c r="C394" s="28"/>
      <c r="D394" s="29">
        <f>'ROL DE AGOSTO'!P34</f>
        <v>0</v>
      </c>
    </row>
    <row r="395" spans="1:4" x14ac:dyDescent="0.3">
      <c r="A395" s="207"/>
      <c r="B395" s="208" t="s">
        <v>12</v>
      </c>
      <c r="C395" s="209">
        <f>SUM(C387:C394)</f>
        <v>500</v>
      </c>
      <c r="D395" s="210">
        <f>SUM(D387:D394)</f>
        <v>280.19</v>
      </c>
    </row>
    <row r="396" spans="1:4" ht="28.2" x14ac:dyDescent="0.3">
      <c r="A396" s="21"/>
      <c r="B396" s="45"/>
      <c r="C396" s="211" t="s">
        <v>13</v>
      </c>
      <c r="D396" s="212">
        <f>+C395-D395</f>
        <v>219.81</v>
      </c>
    </row>
    <row r="397" spans="1:4" ht="15" thickBot="1" x14ac:dyDescent="0.35">
      <c r="A397" s="23"/>
      <c r="B397" s="4" t="s">
        <v>14</v>
      </c>
      <c r="C397" s="2"/>
      <c r="D397" s="24"/>
    </row>
    <row r="398" spans="1:4" x14ac:dyDescent="0.3">
      <c r="A398" s="213" t="s">
        <v>28</v>
      </c>
      <c r="B398" s="213" t="s">
        <v>93</v>
      </c>
      <c r="C398" s="348" t="s">
        <v>30</v>
      </c>
      <c r="D398" s="349"/>
    </row>
    <row r="399" spans="1:4" x14ac:dyDescent="0.3">
      <c r="A399" s="37"/>
      <c r="B399" s="34"/>
      <c r="C399" s="32"/>
      <c r="D399" s="25"/>
    </row>
    <row r="400" spans="1:4" x14ac:dyDescent="0.3">
      <c r="A400" s="37"/>
      <c r="B400" s="34"/>
      <c r="C400" s="32"/>
      <c r="D400" s="25"/>
    </row>
    <row r="401" spans="1:4" x14ac:dyDescent="0.3">
      <c r="A401" s="37"/>
      <c r="B401" s="34"/>
      <c r="C401" s="32"/>
      <c r="D401" s="25"/>
    </row>
    <row r="402" spans="1:4" x14ac:dyDescent="0.3">
      <c r="A402" s="37"/>
      <c r="B402" s="34"/>
      <c r="C402" s="32"/>
      <c r="D402" s="25"/>
    </row>
    <row r="403" spans="1:4" x14ac:dyDescent="0.3">
      <c r="A403" s="37"/>
      <c r="B403" s="34"/>
      <c r="C403" s="32"/>
      <c r="D403" s="25"/>
    </row>
    <row r="404" spans="1:4" x14ac:dyDescent="0.3">
      <c r="A404" s="38" t="s">
        <v>298</v>
      </c>
      <c r="B404" s="35" t="s">
        <v>297</v>
      </c>
      <c r="C404" s="290" t="str">
        <f>B380</f>
        <v>VILLEGAS CARVAJAL JESUS JOSE</v>
      </c>
      <c r="D404" s="291"/>
    </row>
    <row r="405" spans="1:4" ht="15" thickBot="1" x14ac:dyDescent="0.35">
      <c r="A405" s="36" t="s">
        <v>246</v>
      </c>
      <c r="B405" s="33" t="s">
        <v>299</v>
      </c>
      <c r="C405" s="353" t="str">
        <f>B381</f>
        <v>2200590038</v>
      </c>
      <c r="D405" s="354"/>
    </row>
    <row r="413" spans="1:4" ht="15" thickBot="1" x14ac:dyDescent="0.35"/>
    <row r="414" spans="1:4" x14ac:dyDescent="0.3">
      <c r="A414" s="294"/>
      <c r="B414" s="295"/>
      <c r="C414" s="295"/>
      <c r="D414" s="296"/>
    </row>
    <row r="415" spans="1:4" x14ac:dyDescent="0.3">
      <c r="A415" s="307"/>
      <c r="B415" s="308"/>
      <c r="C415" s="308"/>
      <c r="D415" s="309"/>
    </row>
    <row r="416" spans="1:4" ht="15" thickBot="1" x14ac:dyDescent="0.35">
      <c r="A416" s="307"/>
      <c r="B416" s="308"/>
      <c r="C416" s="308"/>
      <c r="D416" s="309"/>
    </row>
    <row r="417" spans="1:4" ht="25.8" thickBot="1" x14ac:dyDescent="0.35">
      <c r="A417" s="350" t="s">
        <v>0</v>
      </c>
      <c r="B417" s="351"/>
      <c r="C417" s="351"/>
      <c r="D417" s="352"/>
    </row>
    <row r="418" spans="1:4" x14ac:dyDescent="0.3">
      <c r="A418" s="11" t="s">
        <v>1</v>
      </c>
      <c r="B418" s="3" t="str">
        <f>'ROL DE AGOSTO'!D35</f>
        <v>ZAMORA MACIAS RAMON CRISTOBAL</v>
      </c>
      <c r="C418" s="3"/>
      <c r="D418" s="12"/>
    </row>
    <row r="419" spans="1:4" x14ac:dyDescent="0.3">
      <c r="A419" s="11" t="s">
        <v>2</v>
      </c>
      <c r="B419" s="55" t="str">
        <f>'ROL DE AGOSTO'!C35</f>
        <v>1500660749</v>
      </c>
      <c r="C419" s="4"/>
      <c r="D419" s="13"/>
    </row>
    <row r="420" spans="1:4" x14ac:dyDescent="0.3">
      <c r="A420" s="11" t="s">
        <v>3</v>
      </c>
      <c r="B420" s="3" t="str">
        <f>'ROL DE AGOSTO'!E35</f>
        <v>CONDUCTOR</v>
      </c>
      <c r="C420" s="4"/>
      <c r="D420" s="14"/>
    </row>
    <row r="421" spans="1:4" x14ac:dyDescent="0.3">
      <c r="A421" s="11" t="s">
        <v>26</v>
      </c>
      <c r="B421" s="3" t="str">
        <f>'ROL DE AGOSTO'!A35</f>
        <v>AGOSTO</v>
      </c>
      <c r="C421" s="4"/>
      <c r="D421" s="15"/>
    </row>
    <row r="422" spans="1:4" x14ac:dyDescent="0.3">
      <c r="A422" s="11" t="s">
        <v>99</v>
      </c>
      <c r="B422" s="55">
        <f>'ROL DE AGOSTO'!B35</f>
        <v>2023</v>
      </c>
      <c r="C422" s="4"/>
      <c r="D422" s="15"/>
    </row>
    <row r="423" spans="1:4" x14ac:dyDescent="0.3">
      <c r="A423" s="203" t="s">
        <v>94</v>
      </c>
      <c r="B423" s="204"/>
      <c r="C423" s="205" t="s">
        <v>5</v>
      </c>
      <c r="D423" s="206" t="s">
        <v>6</v>
      </c>
    </row>
    <row r="424" spans="1:4" x14ac:dyDescent="0.3">
      <c r="A424" s="18"/>
      <c r="B424" s="6"/>
      <c r="C424" s="7"/>
      <c r="D424" s="19"/>
    </row>
    <row r="425" spans="1:4" x14ac:dyDescent="0.3">
      <c r="A425" s="26" t="s">
        <v>16</v>
      </c>
      <c r="B425" s="27"/>
      <c r="C425" s="28">
        <f>'ROL DE AGOSTO'!F35</f>
        <v>614</v>
      </c>
      <c r="D425" s="29"/>
    </row>
    <row r="426" spans="1:4" x14ac:dyDescent="0.3">
      <c r="A426" s="26" t="s">
        <v>105</v>
      </c>
      <c r="B426" s="27"/>
      <c r="C426" s="28"/>
      <c r="D426" s="29"/>
    </row>
    <row r="427" spans="1:4" x14ac:dyDescent="0.3">
      <c r="A427" s="26" t="s">
        <v>8</v>
      </c>
      <c r="B427" s="27"/>
      <c r="C427" s="28"/>
      <c r="D427" s="29"/>
    </row>
    <row r="428" spans="1:4" x14ac:dyDescent="0.3">
      <c r="A428" s="26" t="s">
        <v>9</v>
      </c>
      <c r="B428" s="27"/>
      <c r="C428" s="28"/>
      <c r="D428" s="29"/>
    </row>
    <row r="429" spans="1:4" ht="24" x14ac:dyDescent="0.3">
      <c r="A429" s="26"/>
      <c r="B429" s="27" t="s">
        <v>10</v>
      </c>
      <c r="C429" s="28"/>
      <c r="D429" s="29">
        <f>'ROL DE AGOSTO'!L35</f>
        <v>58.022999999999989</v>
      </c>
    </row>
    <row r="430" spans="1:4" ht="24" x14ac:dyDescent="0.3">
      <c r="A430" s="26"/>
      <c r="B430" s="27" t="s">
        <v>11</v>
      </c>
      <c r="C430" s="28"/>
      <c r="D430" s="29">
        <f>'ROL DE AGOSTO'!O35</f>
        <v>0</v>
      </c>
    </row>
    <row r="431" spans="1:4" x14ac:dyDescent="0.3">
      <c r="A431" s="26"/>
      <c r="B431" s="27" t="s">
        <v>55</v>
      </c>
      <c r="C431" s="28"/>
      <c r="D431" s="29">
        <f>'ROL DE AGOSTO'!S35</f>
        <v>169.8</v>
      </c>
    </row>
    <row r="432" spans="1:4" ht="24" x14ac:dyDescent="0.3">
      <c r="A432" s="26"/>
      <c r="B432" s="27" t="s">
        <v>18</v>
      </c>
      <c r="C432" s="28"/>
      <c r="D432" s="29">
        <f>'ROL DE AGOSTO'!P35</f>
        <v>0</v>
      </c>
    </row>
    <row r="433" spans="1:4" x14ac:dyDescent="0.3">
      <c r="A433" s="207"/>
      <c r="B433" s="208" t="s">
        <v>12</v>
      </c>
      <c r="C433" s="209">
        <f>SUM(C425:C432)</f>
        <v>614</v>
      </c>
      <c r="D433" s="210">
        <f>SUM(D425:D432)</f>
        <v>227.82300000000001</v>
      </c>
    </row>
    <row r="434" spans="1:4" ht="28.2" x14ac:dyDescent="0.3">
      <c r="A434" s="21"/>
      <c r="B434" s="45"/>
      <c r="C434" s="211" t="s">
        <v>13</v>
      </c>
      <c r="D434" s="212">
        <f>+C433-D433</f>
        <v>386.17700000000002</v>
      </c>
    </row>
    <row r="435" spans="1:4" ht="15" thickBot="1" x14ac:dyDescent="0.35">
      <c r="A435" s="23"/>
      <c r="B435" s="4" t="s">
        <v>14</v>
      </c>
      <c r="C435" s="2"/>
      <c r="D435" s="24"/>
    </row>
    <row r="436" spans="1:4" x14ac:dyDescent="0.3">
      <c r="A436" s="213" t="s">
        <v>28</v>
      </c>
      <c r="B436" s="213" t="s">
        <v>93</v>
      </c>
      <c r="C436" s="348" t="s">
        <v>30</v>
      </c>
      <c r="D436" s="349"/>
    </row>
    <row r="437" spans="1:4" x14ac:dyDescent="0.3">
      <c r="A437" s="37"/>
      <c r="B437" s="34"/>
      <c r="C437" s="32"/>
      <c r="D437" s="2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8" t="s">
        <v>298</v>
      </c>
      <c r="B442" s="35" t="s">
        <v>297</v>
      </c>
      <c r="C442" s="290" t="str">
        <f>'ROL INDIVIDUAL'!B418</f>
        <v>ZAMORA MACIAS RAMON CRISTOBAL</v>
      </c>
      <c r="D442" s="291"/>
    </row>
    <row r="443" spans="1:4" ht="15" thickBot="1" x14ac:dyDescent="0.35">
      <c r="A443" s="36" t="s">
        <v>246</v>
      </c>
      <c r="B443" s="33" t="s">
        <v>299</v>
      </c>
      <c r="C443" s="353" t="str">
        <f>B419</f>
        <v>1500660749</v>
      </c>
      <c r="D443" s="354"/>
    </row>
    <row r="444" spans="1:4" x14ac:dyDescent="0.3">
      <c r="A444" s="214"/>
      <c r="B444" s="58"/>
      <c r="C444" s="59"/>
      <c r="D444" s="215"/>
    </row>
    <row r="445" spans="1:4" ht="15" thickBot="1" x14ac:dyDescent="0.35">
      <c r="A445" s="214"/>
      <c r="B445" s="58"/>
      <c r="C445" s="59"/>
      <c r="D445" s="215"/>
    </row>
    <row r="446" spans="1:4" x14ac:dyDescent="0.3">
      <c r="A446" s="294"/>
      <c r="B446" s="295"/>
      <c r="C446" s="295"/>
      <c r="D446" s="296"/>
    </row>
    <row r="447" spans="1:4" x14ac:dyDescent="0.3">
      <c r="A447" s="307"/>
      <c r="B447" s="308"/>
      <c r="C447" s="308"/>
      <c r="D447" s="309"/>
    </row>
    <row r="448" spans="1:4" ht="15" thickBot="1" x14ac:dyDescent="0.35">
      <c r="A448" s="307"/>
      <c r="B448" s="308"/>
      <c r="C448" s="308"/>
      <c r="D448" s="309"/>
    </row>
    <row r="449" spans="1:4" ht="25.8" thickBot="1" x14ac:dyDescent="0.35">
      <c r="A449" s="350" t="s">
        <v>0</v>
      </c>
      <c r="B449" s="351"/>
      <c r="C449" s="351"/>
      <c r="D449" s="352"/>
    </row>
    <row r="450" spans="1:4" x14ac:dyDescent="0.3">
      <c r="A450" s="11" t="s">
        <v>1</v>
      </c>
      <c r="B450" s="3" t="str">
        <f>'ROL DE AGOSTO'!D58</f>
        <v>CALAPUCHA SALAZAR DINA MAGALY</v>
      </c>
      <c r="C450" s="3"/>
      <c r="D450" s="12"/>
    </row>
    <row r="451" spans="1:4" x14ac:dyDescent="0.3">
      <c r="A451" s="11" t="s">
        <v>2</v>
      </c>
      <c r="B451" s="218">
        <f>'ROL DE AGOSTO'!C58</f>
        <v>2200446587</v>
      </c>
      <c r="C451" s="4"/>
      <c r="D451" s="13"/>
    </row>
    <row r="452" spans="1:4" x14ac:dyDescent="0.3">
      <c r="A452" s="11" t="s">
        <v>3</v>
      </c>
      <c r="B452" s="3" t="str">
        <f>'ROL DE AGOSTO'!E58</f>
        <v>ASISTENTE_ADMINISTRATIVO</v>
      </c>
      <c r="C452" s="4"/>
      <c r="D452" s="14"/>
    </row>
    <row r="453" spans="1:4" x14ac:dyDescent="0.3">
      <c r="A453" s="11" t="s">
        <v>26</v>
      </c>
      <c r="B453" s="3" t="str">
        <f>'ROL DE AGOSTO'!A60</f>
        <v>AGOSTO</v>
      </c>
      <c r="C453" s="4"/>
      <c r="D453" s="15"/>
    </row>
    <row r="454" spans="1:4" x14ac:dyDescent="0.3">
      <c r="A454" s="11" t="s">
        <v>99</v>
      </c>
      <c r="B454" s="55">
        <f>'ROL DE AGOSTO'!B58</f>
        <v>2023</v>
      </c>
      <c r="C454" s="4"/>
      <c r="D454" s="15"/>
    </row>
    <row r="455" spans="1:4" x14ac:dyDescent="0.3">
      <c r="A455" s="203" t="s">
        <v>94</v>
      </c>
      <c r="B455" s="204"/>
      <c r="C455" s="205" t="s">
        <v>5</v>
      </c>
      <c r="D455" s="206" t="s">
        <v>6</v>
      </c>
    </row>
    <row r="456" spans="1:4" x14ac:dyDescent="0.3">
      <c r="A456" s="18"/>
      <c r="B456" s="6"/>
      <c r="C456" s="7"/>
      <c r="D456" s="19"/>
    </row>
    <row r="457" spans="1:4" x14ac:dyDescent="0.3">
      <c r="A457" s="26" t="s">
        <v>16</v>
      </c>
      <c r="B457" s="27"/>
      <c r="C457" s="28">
        <f>'ROL DE AGOSTO'!H58</f>
        <v>527</v>
      </c>
      <c r="D457" s="29"/>
    </row>
    <row r="458" spans="1:4" x14ac:dyDescent="0.3">
      <c r="A458" s="26" t="s">
        <v>105</v>
      </c>
      <c r="B458" s="27"/>
      <c r="C458" s="28"/>
      <c r="D458" s="29"/>
    </row>
    <row r="459" spans="1:4" x14ac:dyDescent="0.3">
      <c r="A459" s="26" t="s">
        <v>8</v>
      </c>
      <c r="B459" s="27"/>
      <c r="C459" s="28">
        <f>'ROL DE AGOSTO'!I58</f>
        <v>43.916666666666664</v>
      </c>
      <c r="D459" s="29"/>
    </row>
    <row r="460" spans="1:4" x14ac:dyDescent="0.3">
      <c r="A460" s="26" t="s">
        <v>9</v>
      </c>
      <c r="B460" s="27"/>
      <c r="C460" s="28">
        <f>'ROL DE AGOSTO'!J58</f>
        <v>37.5</v>
      </c>
      <c r="D460" s="29"/>
    </row>
    <row r="461" spans="1:4" ht="24" x14ac:dyDescent="0.3">
      <c r="A461" s="26"/>
      <c r="B461" s="27" t="s">
        <v>10</v>
      </c>
      <c r="C461" s="28"/>
      <c r="D461" s="29">
        <f>'ROL DE AGOSTO'!L58</f>
        <v>60.341499999999996</v>
      </c>
    </row>
    <row r="462" spans="1:4" ht="24" x14ac:dyDescent="0.3">
      <c r="A462" s="26"/>
      <c r="B462" s="27" t="s">
        <v>11</v>
      </c>
      <c r="C462" s="28"/>
      <c r="D462" s="29">
        <f>'ROL DE AGOSTO'!O58</f>
        <v>0</v>
      </c>
    </row>
    <row r="463" spans="1:4" x14ac:dyDescent="0.3">
      <c r="A463" s="26"/>
      <c r="B463" s="27" t="s">
        <v>55</v>
      </c>
      <c r="C463" s="28"/>
      <c r="D463" s="29">
        <f>'ROL DE AGOSTO'!S58</f>
        <v>0</v>
      </c>
    </row>
    <row r="464" spans="1:4" ht="24" x14ac:dyDescent="0.3">
      <c r="A464" s="26"/>
      <c r="B464" s="27" t="s">
        <v>18</v>
      </c>
      <c r="C464" s="28"/>
      <c r="D464" s="29">
        <f>'ROL DE AGOSTO'!P58</f>
        <v>0</v>
      </c>
    </row>
    <row r="465" spans="1:4" x14ac:dyDescent="0.3">
      <c r="A465" s="207"/>
      <c r="B465" s="208" t="s">
        <v>12</v>
      </c>
      <c r="C465" s="209">
        <f>SUM(C457:C464)</f>
        <v>608.41666666666663</v>
      </c>
      <c r="D465" s="210">
        <f>SUM(D457:D464)</f>
        <v>60.341499999999996</v>
      </c>
    </row>
    <row r="466" spans="1:4" ht="28.2" x14ac:dyDescent="0.3">
      <c r="A466" s="21"/>
      <c r="B466" s="45"/>
      <c r="C466" s="211" t="s">
        <v>13</v>
      </c>
      <c r="D466" s="212">
        <f>+C465-D465</f>
        <v>548.07516666666663</v>
      </c>
    </row>
    <row r="467" spans="1:4" ht="15" thickBot="1" x14ac:dyDescent="0.35">
      <c r="A467" s="23"/>
      <c r="B467" s="4" t="s">
        <v>14</v>
      </c>
      <c r="C467" s="2"/>
      <c r="D467" s="24"/>
    </row>
    <row r="468" spans="1:4" x14ac:dyDescent="0.3">
      <c r="A468" s="213" t="s">
        <v>28</v>
      </c>
      <c r="B468" s="213" t="s">
        <v>93</v>
      </c>
      <c r="C468" s="348" t="s">
        <v>30</v>
      </c>
      <c r="D468" s="349"/>
    </row>
    <row r="469" spans="1:4" x14ac:dyDescent="0.3">
      <c r="A469" s="37"/>
      <c r="B469" s="34"/>
      <c r="C469" s="32"/>
      <c r="D469" s="25"/>
    </row>
    <row r="470" spans="1:4" x14ac:dyDescent="0.3">
      <c r="A470" s="37"/>
      <c r="B470" s="34"/>
      <c r="C470" s="32"/>
      <c r="D470" s="25"/>
    </row>
    <row r="471" spans="1:4" x14ac:dyDescent="0.3">
      <c r="A471" s="37"/>
      <c r="B471" s="34"/>
      <c r="C471" s="32"/>
      <c r="D471" s="25"/>
    </row>
    <row r="472" spans="1:4" x14ac:dyDescent="0.3">
      <c r="A472" s="37"/>
      <c r="B472" s="34"/>
      <c r="C472" s="32"/>
      <c r="D472" s="25"/>
    </row>
    <row r="473" spans="1:4" x14ac:dyDescent="0.3">
      <c r="A473" s="37"/>
      <c r="B473" s="34"/>
      <c r="C473" s="32"/>
      <c r="D473" s="25"/>
    </row>
    <row r="474" spans="1:4" x14ac:dyDescent="0.3">
      <c r="A474" s="38" t="s">
        <v>298</v>
      </c>
      <c r="B474" s="35" t="s">
        <v>297</v>
      </c>
      <c r="C474" s="290" t="str">
        <f>B450</f>
        <v>CALAPUCHA SALAZAR DINA MAGALY</v>
      </c>
      <c r="D474" s="291"/>
    </row>
    <row r="475" spans="1:4" ht="15" thickBot="1" x14ac:dyDescent="0.35">
      <c r="A475" s="36" t="s">
        <v>246</v>
      </c>
      <c r="B475" s="33" t="s">
        <v>299</v>
      </c>
      <c r="C475" s="353">
        <f>B451</f>
        <v>2200446587</v>
      </c>
      <c r="D475" s="354"/>
    </row>
    <row r="483" spans="1:4" ht="15" thickBot="1" x14ac:dyDescent="0.35"/>
    <row r="484" spans="1:4" x14ac:dyDescent="0.3">
      <c r="A484" s="294"/>
      <c r="B484" s="295"/>
      <c r="C484" s="295"/>
      <c r="D484" s="296"/>
    </row>
    <row r="485" spans="1:4" x14ac:dyDescent="0.3">
      <c r="A485" s="307"/>
      <c r="B485" s="308"/>
      <c r="C485" s="308"/>
      <c r="D485" s="309"/>
    </row>
    <row r="486" spans="1:4" ht="15" thickBot="1" x14ac:dyDescent="0.35">
      <c r="A486" s="307"/>
      <c r="B486" s="308"/>
      <c r="C486" s="308"/>
      <c r="D486" s="309"/>
    </row>
    <row r="487" spans="1:4" ht="25.8" thickBot="1" x14ac:dyDescent="0.35">
      <c r="A487" s="350" t="s">
        <v>0</v>
      </c>
      <c r="B487" s="351"/>
      <c r="C487" s="351"/>
      <c r="D487" s="352"/>
    </row>
    <row r="488" spans="1:4" x14ac:dyDescent="0.3">
      <c r="A488" s="11" t="s">
        <v>1</v>
      </c>
      <c r="B488" s="3" t="str">
        <f>'ROL DE AGOSTO'!D59</f>
        <v>ALARCON NARANJO PEDRO DANIEL</v>
      </c>
      <c r="C488" s="3"/>
      <c r="D488" s="12"/>
    </row>
    <row r="489" spans="1:4" x14ac:dyDescent="0.3">
      <c r="A489" s="11" t="s">
        <v>2</v>
      </c>
      <c r="B489" s="10" t="str">
        <f>'ROL DE AGOSTO'!C59</f>
        <v>0201172517</v>
      </c>
      <c r="C489" s="4"/>
      <c r="D489" s="13"/>
    </row>
    <row r="490" spans="1:4" x14ac:dyDescent="0.3">
      <c r="A490" s="11" t="s">
        <v>3</v>
      </c>
      <c r="B490" s="3" t="str">
        <f>'ROL DE AGOSTO'!E59</f>
        <v>TECNICO DE PLANIFICACION</v>
      </c>
      <c r="C490" s="4"/>
      <c r="D490" s="14"/>
    </row>
    <row r="491" spans="1:4" x14ac:dyDescent="0.3">
      <c r="A491" s="11" t="s">
        <v>26</v>
      </c>
      <c r="B491" s="3" t="str">
        <f>'ROL DE AGOSTO'!A59</f>
        <v>AGOSTO</v>
      </c>
      <c r="C491" s="4"/>
      <c r="D491" s="15"/>
    </row>
    <row r="492" spans="1:4" x14ac:dyDescent="0.3">
      <c r="A492" s="11" t="s">
        <v>99</v>
      </c>
      <c r="B492" s="55">
        <f>'ROL DE AGOSTO'!B59</f>
        <v>2023</v>
      </c>
      <c r="C492" s="4"/>
      <c r="D492" s="15"/>
    </row>
    <row r="493" spans="1:4" x14ac:dyDescent="0.3">
      <c r="A493" s="203" t="s">
        <v>94</v>
      </c>
      <c r="B493" s="204"/>
      <c r="C493" s="205" t="s">
        <v>5</v>
      </c>
      <c r="D493" s="206" t="s">
        <v>6</v>
      </c>
    </row>
    <row r="494" spans="1:4" x14ac:dyDescent="0.3">
      <c r="A494" s="18"/>
      <c r="B494" s="6"/>
      <c r="C494" s="7"/>
      <c r="D494" s="19"/>
    </row>
    <row r="495" spans="1:4" x14ac:dyDescent="0.3">
      <c r="A495" s="26" t="s">
        <v>16</v>
      </c>
      <c r="B495" s="27"/>
      <c r="C495" s="28">
        <f>'ROL DE AGOSTO'!F59</f>
        <v>1212</v>
      </c>
      <c r="D495" s="29"/>
    </row>
    <row r="496" spans="1:4" x14ac:dyDescent="0.3">
      <c r="A496" s="26" t="s">
        <v>105</v>
      </c>
      <c r="B496" s="27"/>
      <c r="C496" s="28"/>
      <c r="D496" s="29"/>
    </row>
    <row r="497" spans="1:4" x14ac:dyDescent="0.3">
      <c r="A497" s="26" t="s">
        <v>8</v>
      </c>
      <c r="B497" s="27"/>
      <c r="C497" s="28">
        <f>'ROL DE AGOSTO'!I59</f>
        <v>101</v>
      </c>
      <c r="D497" s="29"/>
    </row>
    <row r="498" spans="1:4" x14ac:dyDescent="0.3">
      <c r="A498" s="26" t="s">
        <v>9</v>
      </c>
      <c r="B498" s="27"/>
      <c r="C498" s="28">
        <f>'ROL DE AGOSTO'!J59</f>
        <v>37.5</v>
      </c>
      <c r="D498" s="29"/>
    </row>
    <row r="499" spans="1:4" ht="24" x14ac:dyDescent="0.3">
      <c r="A499" s="26"/>
      <c r="B499" s="27" t="s">
        <v>10</v>
      </c>
      <c r="C499" s="28"/>
      <c r="D499" s="29">
        <f>'ROL DE AGOSTO'!L59</f>
        <v>138.774</v>
      </c>
    </row>
    <row r="500" spans="1:4" ht="24" x14ac:dyDescent="0.3">
      <c r="A500" s="26"/>
      <c r="B500" s="27" t="s">
        <v>11</v>
      </c>
      <c r="C500" s="28"/>
      <c r="D500" s="29">
        <f>'ROL DE AGOSTO'!O59</f>
        <v>0</v>
      </c>
    </row>
    <row r="501" spans="1:4" x14ac:dyDescent="0.3">
      <c r="A501" s="26"/>
      <c r="B501" s="27" t="s">
        <v>55</v>
      </c>
      <c r="C501" s="28"/>
      <c r="D501" s="29">
        <f>'ROL DE AGOSTO'!S59</f>
        <v>18.75</v>
      </c>
    </row>
    <row r="502" spans="1:4" ht="24" x14ac:dyDescent="0.3">
      <c r="A502" s="26"/>
      <c r="B502" s="27" t="s">
        <v>18</v>
      </c>
      <c r="C502" s="28"/>
      <c r="D502" s="29">
        <f>'ROL DE AGOSTO'!P59</f>
        <v>127.91</v>
      </c>
    </row>
    <row r="503" spans="1:4" x14ac:dyDescent="0.3">
      <c r="A503" s="207"/>
      <c r="B503" s="208" t="s">
        <v>12</v>
      </c>
      <c r="C503" s="209">
        <f>SUM(C495:C502)</f>
        <v>1350.5</v>
      </c>
      <c r="D503" s="210">
        <f>SUM(D495:D502)</f>
        <v>285.43399999999997</v>
      </c>
    </row>
    <row r="504" spans="1:4" ht="28.2" x14ac:dyDescent="0.3">
      <c r="A504" s="21"/>
      <c r="B504" s="45"/>
      <c r="C504" s="211" t="s">
        <v>13</v>
      </c>
      <c r="D504" s="212">
        <f>+C503-D503</f>
        <v>1065.066</v>
      </c>
    </row>
    <row r="505" spans="1:4" ht="15" thickBot="1" x14ac:dyDescent="0.35">
      <c r="A505" s="23"/>
      <c r="B505" s="4" t="s">
        <v>14</v>
      </c>
      <c r="C505" s="2"/>
      <c r="D505" s="24"/>
    </row>
    <row r="506" spans="1:4" x14ac:dyDescent="0.3">
      <c r="A506" s="213" t="s">
        <v>28</v>
      </c>
      <c r="B506" s="213" t="s">
        <v>93</v>
      </c>
      <c r="C506" s="348" t="s">
        <v>30</v>
      </c>
      <c r="D506" s="349"/>
    </row>
    <row r="507" spans="1:4" x14ac:dyDescent="0.3">
      <c r="A507" s="37"/>
      <c r="B507" s="34"/>
      <c r="C507" s="32"/>
      <c r="D507" s="25"/>
    </row>
    <row r="508" spans="1:4" x14ac:dyDescent="0.3">
      <c r="A508" s="37"/>
      <c r="B508" s="34"/>
      <c r="C508" s="32"/>
      <c r="D508" s="25"/>
    </row>
    <row r="509" spans="1:4" x14ac:dyDescent="0.3">
      <c r="A509" s="37"/>
      <c r="B509" s="34"/>
      <c r="C509" s="32"/>
      <c r="D509" s="25"/>
    </row>
    <row r="510" spans="1:4" x14ac:dyDescent="0.3">
      <c r="A510" s="37"/>
      <c r="B510" s="34"/>
      <c r="C510" s="32"/>
      <c r="D510" s="25"/>
    </row>
    <row r="511" spans="1:4" x14ac:dyDescent="0.3">
      <c r="A511" s="37"/>
      <c r="B511" s="34"/>
      <c r="C511" s="32"/>
      <c r="D511" s="25"/>
    </row>
    <row r="512" spans="1:4" x14ac:dyDescent="0.3">
      <c r="A512" s="38" t="s">
        <v>298</v>
      </c>
      <c r="B512" s="35" t="s">
        <v>297</v>
      </c>
      <c r="C512" s="290" t="str">
        <f>'ROL INDIVIDUAL'!B488</f>
        <v>ALARCON NARANJO PEDRO DANIEL</v>
      </c>
      <c r="D512" s="291"/>
    </row>
    <row r="513" spans="1:4" ht="15" thickBot="1" x14ac:dyDescent="0.35">
      <c r="A513" s="36" t="s">
        <v>246</v>
      </c>
      <c r="B513" s="33" t="s">
        <v>299</v>
      </c>
      <c r="C513" s="353" t="str">
        <f>B489</f>
        <v>0201172517</v>
      </c>
      <c r="D513" s="354"/>
    </row>
    <row r="514" spans="1:4" x14ac:dyDescent="0.3">
      <c r="A514" s="214"/>
      <c r="B514" s="58"/>
      <c r="C514" s="59"/>
      <c r="D514" s="215"/>
    </row>
    <row r="515" spans="1:4" ht="15" thickBot="1" x14ac:dyDescent="0.35">
      <c r="A515" s="214"/>
      <c r="B515" s="58"/>
      <c r="C515" s="59"/>
      <c r="D515" s="215"/>
    </row>
    <row r="516" spans="1:4" x14ac:dyDescent="0.3">
      <c r="A516" s="294"/>
      <c r="B516" s="295"/>
      <c r="C516" s="295"/>
      <c r="D516" s="296"/>
    </row>
    <row r="517" spans="1:4" x14ac:dyDescent="0.3">
      <c r="A517" s="307"/>
      <c r="B517" s="308"/>
      <c r="C517" s="308"/>
      <c r="D517" s="309"/>
    </row>
    <row r="518" spans="1:4" ht="15" thickBot="1" x14ac:dyDescent="0.35">
      <c r="A518" s="307"/>
      <c r="B518" s="308"/>
      <c r="C518" s="308"/>
      <c r="D518" s="309"/>
    </row>
    <row r="519" spans="1:4" ht="25.8" thickBot="1" x14ac:dyDescent="0.35">
      <c r="A519" s="350" t="s">
        <v>0</v>
      </c>
      <c r="B519" s="351"/>
      <c r="C519" s="351"/>
      <c r="D519" s="352"/>
    </row>
    <row r="520" spans="1:4" x14ac:dyDescent="0.3">
      <c r="A520" s="11" t="s">
        <v>1</v>
      </c>
      <c r="B520" s="3" t="str">
        <f>'ROL SEP'!D62</f>
        <v>TAPUYLICUY LUZ MARIA</v>
      </c>
      <c r="C520" s="3"/>
      <c r="D520" s="12"/>
    </row>
    <row r="521" spans="1:4" x14ac:dyDescent="0.3">
      <c r="A521" s="11" t="s">
        <v>2</v>
      </c>
      <c r="B521" s="10" t="str">
        <f>'ROL SEP'!C62</f>
        <v>1500798028</v>
      </c>
      <c r="C521" s="4"/>
      <c r="D521" s="13"/>
    </row>
    <row r="522" spans="1:4" x14ac:dyDescent="0.3">
      <c r="A522" s="11" t="s">
        <v>3</v>
      </c>
      <c r="B522" s="3" t="str">
        <f>'ROL SEP'!E62</f>
        <v>PROMOTOR AGRICOLA</v>
      </c>
      <c r="C522" s="4"/>
      <c r="D522" s="14"/>
    </row>
    <row r="523" spans="1:4" x14ac:dyDescent="0.3">
      <c r="A523" s="11" t="s">
        <v>26</v>
      </c>
      <c r="B523" s="3" t="str">
        <f>'ROL SEP'!A62</f>
        <v>SEPTIEMBRE</v>
      </c>
      <c r="C523" s="4"/>
      <c r="D523" s="15"/>
    </row>
    <row r="524" spans="1:4" x14ac:dyDescent="0.3">
      <c r="A524" s="11" t="s">
        <v>99</v>
      </c>
      <c r="B524" s="55">
        <f>'ROL SEP'!B62</f>
        <v>2023</v>
      </c>
      <c r="C524" s="4"/>
      <c r="D524" s="15"/>
    </row>
    <row r="525" spans="1:4" x14ac:dyDescent="0.3">
      <c r="A525" s="203" t="s">
        <v>94</v>
      </c>
      <c r="B525" s="204"/>
      <c r="C525" s="205" t="s">
        <v>5</v>
      </c>
      <c r="D525" s="206" t="s">
        <v>6</v>
      </c>
    </row>
    <row r="526" spans="1:4" x14ac:dyDescent="0.3">
      <c r="A526" s="18"/>
      <c r="B526" s="6"/>
      <c r="C526" s="7"/>
      <c r="D526" s="19"/>
    </row>
    <row r="527" spans="1:4" x14ac:dyDescent="0.3">
      <c r="A527" s="26" t="s">
        <v>16</v>
      </c>
      <c r="B527" s="27"/>
      <c r="C527" s="28">
        <f>'ROL SEP'!F62</f>
        <v>500</v>
      </c>
      <c r="D527" s="29"/>
    </row>
    <row r="528" spans="1:4" x14ac:dyDescent="0.3">
      <c r="A528" s="26" t="s">
        <v>105</v>
      </c>
      <c r="B528" s="27"/>
      <c r="C528" s="28"/>
      <c r="D528" s="29"/>
    </row>
    <row r="529" spans="1:4" x14ac:dyDescent="0.3">
      <c r="A529" s="26" t="s">
        <v>8</v>
      </c>
      <c r="B529" s="27"/>
      <c r="C529" s="28"/>
      <c r="D529" s="29"/>
    </row>
    <row r="530" spans="1:4" x14ac:dyDescent="0.3">
      <c r="A530" s="26" t="s">
        <v>9</v>
      </c>
      <c r="B530" s="27"/>
      <c r="C530" s="28"/>
      <c r="D530" s="29"/>
    </row>
    <row r="531" spans="1:4" ht="24" x14ac:dyDescent="0.3">
      <c r="A531" s="26"/>
      <c r="B531" s="27" t="s">
        <v>10</v>
      </c>
      <c r="C531" s="28"/>
      <c r="D531" s="29">
        <f>'ROL SEP'!L62</f>
        <v>57.249999999999993</v>
      </c>
    </row>
    <row r="532" spans="1:4" ht="24" x14ac:dyDescent="0.3">
      <c r="A532" s="26"/>
      <c r="B532" s="27" t="s">
        <v>11</v>
      </c>
      <c r="C532" s="28"/>
      <c r="D532" s="29">
        <f>'ROL SEP'!O62</f>
        <v>0</v>
      </c>
    </row>
    <row r="533" spans="1:4" x14ac:dyDescent="0.3">
      <c r="A533" s="26"/>
      <c r="B533" s="27" t="s">
        <v>55</v>
      </c>
      <c r="C533" s="28"/>
      <c r="D533" s="29">
        <f>'ROL SEP'!S62</f>
        <v>0</v>
      </c>
    </row>
    <row r="534" spans="1:4" ht="24" x14ac:dyDescent="0.3">
      <c r="A534" s="26"/>
      <c r="B534" s="27" t="s">
        <v>18</v>
      </c>
      <c r="C534" s="28"/>
      <c r="D534" s="29">
        <f>'ROL SEP'!P62</f>
        <v>0</v>
      </c>
    </row>
    <row r="535" spans="1:4" x14ac:dyDescent="0.3">
      <c r="A535" s="207"/>
      <c r="B535" s="208" t="s">
        <v>12</v>
      </c>
      <c r="C535" s="209">
        <f>SUM(C527:C534)</f>
        <v>500</v>
      </c>
      <c r="D535" s="210">
        <f>SUM(D527:D534)</f>
        <v>57.249999999999993</v>
      </c>
    </row>
    <row r="536" spans="1:4" ht="28.2" x14ac:dyDescent="0.3">
      <c r="A536" s="21"/>
      <c r="B536" s="45"/>
      <c r="C536" s="211" t="s">
        <v>13</v>
      </c>
      <c r="D536" s="212">
        <f>+C535-D535</f>
        <v>442.75</v>
      </c>
    </row>
    <row r="537" spans="1:4" ht="15" thickBot="1" x14ac:dyDescent="0.35">
      <c r="A537" s="23"/>
      <c r="B537" s="4" t="s">
        <v>14</v>
      </c>
      <c r="C537" s="2"/>
      <c r="D537" s="24"/>
    </row>
    <row r="538" spans="1:4" x14ac:dyDescent="0.3">
      <c r="A538" s="213" t="s">
        <v>28</v>
      </c>
      <c r="B538" s="213" t="s">
        <v>93</v>
      </c>
      <c r="C538" s="348" t="s">
        <v>30</v>
      </c>
      <c r="D538" s="349"/>
    </row>
    <row r="539" spans="1:4" x14ac:dyDescent="0.3">
      <c r="A539" s="37"/>
      <c r="B539" s="34"/>
      <c r="C539" s="32"/>
      <c r="D539" s="25"/>
    </row>
    <row r="540" spans="1:4" x14ac:dyDescent="0.3">
      <c r="A540" s="37"/>
      <c r="B540" s="34"/>
      <c r="C540" s="32"/>
      <c r="D540" s="25"/>
    </row>
    <row r="541" spans="1:4" x14ac:dyDescent="0.3">
      <c r="A541" s="37"/>
      <c r="B541" s="34"/>
      <c r="C541" s="32"/>
      <c r="D541" s="25"/>
    </row>
    <row r="542" spans="1:4" x14ac:dyDescent="0.3">
      <c r="A542" s="37"/>
      <c r="B542" s="34"/>
      <c r="C542" s="32"/>
      <c r="D542" s="25"/>
    </row>
    <row r="543" spans="1:4" x14ac:dyDescent="0.3">
      <c r="A543" s="37"/>
      <c r="B543" s="34"/>
      <c r="C543" s="32"/>
      <c r="D543" s="25"/>
    </row>
    <row r="544" spans="1:4" x14ac:dyDescent="0.3">
      <c r="A544" s="38" t="s">
        <v>298</v>
      </c>
      <c r="B544" s="35" t="s">
        <v>297</v>
      </c>
      <c r="C544" s="290" t="str">
        <f>B520</f>
        <v>TAPUYLICUY LUZ MARIA</v>
      </c>
      <c r="D544" s="291"/>
    </row>
    <row r="545" spans="1:4" ht="15" thickBot="1" x14ac:dyDescent="0.35">
      <c r="A545" s="36" t="s">
        <v>246</v>
      </c>
      <c r="B545" s="33" t="s">
        <v>299</v>
      </c>
      <c r="C545" s="353" t="str">
        <f>B521</f>
        <v>1500798028</v>
      </c>
      <c r="D545" s="354"/>
    </row>
    <row r="553" spans="1:4" ht="15" thickBot="1" x14ac:dyDescent="0.35"/>
    <row r="554" spans="1:4" x14ac:dyDescent="0.3">
      <c r="A554" s="294"/>
      <c r="B554" s="295"/>
      <c r="C554" s="295"/>
      <c r="D554" s="296"/>
    </row>
    <row r="555" spans="1:4" x14ac:dyDescent="0.3">
      <c r="A555" s="307"/>
      <c r="B555" s="308"/>
      <c r="C555" s="308"/>
      <c r="D555" s="309"/>
    </row>
    <row r="556" spans="1:4" ht="15" thickBot="1" x14ac:dyDescent="0.35">
      <c r="A556" s="307"/>
      <c r="B556" s="308"/>
      <c r="C556" s="308"/>
      <c r="D556" s="309"/>
    </row>
    <row r="557" spans="1:4" ht="25.8" thickBot="1" x14ac:dyDescent="0.35">
      <c r="A557" s="350" t="s">
        <v>0</v>
      </c>
      <c r="B557" s="351"/>
      <c r="C557" s="351"/>
      <c r="D557" s="352"/>
    </row>
    <row r="558" spans="1:4" x14ac:dyDescent="0.3">
      <c r="A558" s="11" t="s">
        <v>1</v>
      </c>
      <c r="B558" s="3" t="str">
        <f>'ROL SEP'!D36</f>
        <v>GREFA CUJI EDGAR OMAR</v>
      </c>
      <c r="C558" s="3"/>
      <c r="D558" s="12"/>
    </row>
    <row r="559" spans="1:4" x14ac:dyDescent="0.3">
      <c r="A559" s="11" t="s">
        <v>2</v>
      </c>
      <c r="B559" s="10" t="str">
        <f>'ROL SEP'!C36</f>
        <v>2200534663</v>
      </c>
      <c r="C559" s="4"/>
      <c r="D559" s="13"/>
    </row>
    <row r="560" spans="1:4" x14ac:dyDescent="0.3">
      <c r="A560" s="11" t="s">
        <v>3</v>
      </c>
      <c r="B560" s="3" t="str">
        <f>'ROL SEP'!E36</f>
        <v>OPERADOR DE RODILLO</v>
      </c>
      <c r="C560" s="4"/>
      <c r="D560" s="14"/>
    </row>
    <row r="561" spans="1:4" x14ac:dyDescent="0.3">
      <c r="A561" s="11" t="s">
        <v>26</v>
      </c>
      <c r="B561" s="3" t="str">
        <f>'ROL SEP'!A36</f>
        <v>SEPTIEMBRE</v>
      </c>
      <c r="C561" s="4"/>
      <c r="D561" s="15"/>
    </row>
    <row r="562" spans="1:4" x14ac:dyDescent="0.3">
      <c r="A562" s="11" t="s">
        <v>99</v>
      </c>
      <c r="B562" s="55">
        <f>'ROL SEP'!B36</f>
        <v>2023</v>
      </c>
      <c r="C562" s="4"/>
      <c r="D562" s="15"/>
    </row>
    <row r="563" spans="1:4" x14ac:dyDescent="0.3">
      <c r="A563" s="203" t="s">
        <v>94</v>
      </c>
      <c r="B563" s="204"/>
      <c r="C563" s="205" t="s">
        <v>5</v>
      </c>
      <c r="D563" s="206" t="s">
        <v>6</v>
      </c>
    </row>
    <row r="564" spans="1:4" x14ac:dyDescent="0.3">
      <c r="A564" s="18"/>
      <c r="B564" s="6"/>
      <c r="C564" s="7"/>
      <c r="D564" s="19"/>
    </row>
    <row r="565" spans="1:4" x14ac:dyDescent="0.3">
      <c r="A565" s="26" t="s">
        <v>16</v>
      </c>
      <c r="B565" s="27"/>
      <c r="C565" s="28">
        <f>'ROL SEP'!F36</f>
        <v>708</v>
      </c>
      <c r="D565" s="29"/>
    </row>
    <row r="566" spans="1:4" x14ac:dyDescent="0.3">
      <c r="A566" s="26" t="s">
        <v>105</v>
      </c>
      <c r="B566" s="27"/>
      <c r="C566" s="28"/>
      <c r="D566" s="29"/>
    </row>
    <row r="567" spans="1:4" x14ac:dyDescent="0.3">
      <c r="A567" s="26" t="s">
        <v>8</v>
      </c>
      <c r="B567" s="27"/>
      <c r="C567" s="28"/>
      <c r="D567" s="29"/>
    </row>
    <row r="568" spans="1:4" x14ac:dyDescent="0.3">
      <c r="A568" s="26" t="s">
        <v>9</v>
      </c>
      <c r="B568" s="27"/>
      <c r="C568" s="28"/>
      <c r="D568" s="29"/>
    </row>
    <row r="569" spans="1:4" ht="24" x14ac:dyDescent="0.3">
      <c r="A569" s="26"/>
      <c r="B569" s="27" t="s">
        <v>10</v>
      </c>
      <c r="C569" s="28"/>
      <c r="D569" s="29">
        <f>'ROL SEP'!L36</f>
        <v>66.905999999999992</v>
      </c>
    </row>
    <row r="570" spans="1:4" ht="24" x14ac:dyDescent="0.3">
      <c r="A570" s="26"/>
      <c r="B570" s="27" t="s">
        <v>11</v>
      </c>
      <c r="C570" s="28"/>
      <c r="D570" s="29">
        <f>'ROL SEP'!O36</f>
        <v>0</v>
      </c>
    </row>
    <row r="571" spans="1:4" x14ac:dyDescent="0.3">
      <c r="A571" s="26"/>
      <c r="B571" s="27" t="s">
        <v>55</v>
      </c>
      <c r="C571" s="28"/>
      <c r="D571" s="29">
        <f>'ROL SEP'!S36</f>
        <v>0</v>
      </c>
    </row>
    <row r="572" spans="1:4" ht="24" x14ac:dyDescent="0.3">
      <c r="A572" s="26"/>
      <c r="B572" s="27" t="s">
        <v>18</v>
      </c>
      <c r="C572" s="28"/>
      <c r="D572" s="29">
        <f>'ROL SEP'!P36</f>
        <v>0</v>
      </c>
    </row>
    <row r="573" spans="1:4" x14ac:dyDescent="0.3">
      <c r="A573" s="207"/>
      <c r="B573" s="208" t="s">
        <v>12</v>
      </c>
      <c r="C573" s="209">
        <f>SUM(C565:C572)</f>
        <v>708</v>
      </c>
      <c r="D573" s="210">
        <f>SUM(D565:D572)</f>
        <v>66.905999999999992</v>
      </c>
    </row>
    <row r="574" spans="1:4" ht="28.2" x14ac:dyDescent="0.3">
      <c r="A574" s="21"/>
      <c r="B574" s="45"/>
      <c r="C574" s="211" t="s">
        <v>13</v>
      </c>
      <c r="D574" s="212">
        <f>+C573-D573</f>
        <v>641.09400000000005</v>
      </c>
    </row>
    <row r="575" spans="1:4" ht="15" thickBot="1" x14ac:dyDescent="0.35">
      <c r="A575" s="23"/>
      <c r="B575" s="4" t="s">
        <v>14</v>
      </c>
      <c r="C575" s="2"/>
      <c r="D575" s="24"/>
    </row>
    <row r="576" spans="1:4" x14ac:dyDescent="0.3">
      <c r="A576" s="213" t="s">
        <v>28</v>
      </c>
      <c r="B576" s="213" t="s">
        <v>93</v>
      </c>
      <c r="C576" s="348" t="s">
        <v>30</v>
      </c>
      <c r="D576" s="349"/>
    </row>
    <row r="577" spans="1:4" x14ac:dyDescent="0.3">
      <c r="A577" s="37"/>
      <c r="B577" s="34"/>
      <c r="C577" s="32"/>
      <c r="D577" s="25"/>
    </row>
    <row r="578" spans="1:4" x14ac:dyDescent="0.3">
      <c r="A578" s="37"/>
      <c r="B578" s="34"/>
      <c r="C578" s="32"/>
      <c r="D578" s="25"/>
    </row>
    <row r="579" spans="1:4" x14ac:dyDescent="0.3">
      <c r="A579" s="37"/>
      <c r="B579" s="34"/>
      <c r="C579" s="32"/>
      <c r="D579" s="25"/>
    </row>
    <row r="580" spans="1:4" x14ac:dyDescent="0.3">
      <c r="A580" s="37"/>
      <c r="B580" s="34"/>
      <c r="C580" s="32"/>
      <c r="D580" s="25"/>
    </row>
    <row r="581" spans="1:4" x14ac:dyDescent="0.3">
      <c r="A581" s="37"/>
      <c r="B581" s="34"/>
      <c r="C581" s="32"/>
      <c r="D581" s="25"/>
    </row>
    <row r="582" spans="1:4" x14ac:dyDescent="0.3">
      <c r="A582" s="38" t="s">
        <v>298</v>
      </c>
      <c r="B582" s="35" t="s">
        <v>297</v>
      </c>
      <c r="C582" s="290" t="str">
        <f>B558</f>
        <v>GREFA CUJI EDGAR OMAR</v>
      </c>
      <c r="D582" s="291"/>
    </row>
    <row r="583" spans="1:4" ht="15" thickBot="1" x14ac:dyDescent="0.35">
      <c r="A583" s="36" t="s">
        <v>246</v>
      </c>
      <c r="B583" s="33" t="s">
        <v>299</v>
      </c>
      <c r="C583" s="353" t="str">
        <f>B559</f>
        <v>2200534663</v>
      </c>
      <c r="D583" s="354"/>
    </row>
    <row r="584" spans="1:4" x14ac:dyDescent="0.3">
      <c r="A584" s="214"/>
      <c r="B584" s="58"/>
      <c r="C584" s="59"/>
      <c r="D584" s="215"/>
    </row>
    <row r="585" spans="1:4" ht="15" thickBot="1" x14ac:dyDescent="0.35">
      <c r="A585" s="214"/>
      <c r="B585" s="58"/>
      <c r="C585" s="59"/>
      <c r="D585" s="215"/>
    </row>
    <row r="586" spans="1:4" x14ac:dyDescent="0.3">
      <c r="A586" s="294"/>
      <c r="B586" s="295"/>
      <c r="C586" s="295"/>
      <c r="D586" s="296"/>
    </row>
    <row r="587" spans="1:4" x14ac:dyDescent="0.3">
      <c r="A587" s="307"/>
      <c r="B587" s="308"/>
      <c r="C587" s="308"/>
      <c r="D587" s="309"/>
    </row>
    <row r="588" spans="1:4" ht="15" thickBot="1" x14ac:dyDescent="0.35">
      <c r="A588" s="307"/>
      <c r="B588" s="308"/>
      <c r="C588" s="308"/>
      <c r="D588" s="309"/>
    </row>
    <row r="589" spans="1:4" ht="25.8" thickBot="1" x14ac:dyDescent="0.35">
      <c r="A589" s="350" t="s">
        <v>0</v>
      </c>
      <c r="B589" s="351"/>
      <c r="C589" s="351"/>
      <c r="D589" s="352"/>
    </row>
    <row r="590" spans="1:4" x14ac:dyDescent="0.3">
      <c r="A590" s="11" t="s">
        <v>1</v>
      </c>
      <c r="B590" s="3" t="str">
        <f>'ROL SEP'!D37</f>
        <v>VAICILLA SANCHEZ VICTOR ERICK</v>
      </c>
      <c r="C590" s="3"/>
      <c r="D590" s="12"/>
    </row>
    <row r="591" spans="1:4" x14ac:dyDescent="0.3">
      <c r="A591" s="11" t="s">
        <v>2</v>
      </c>
      <c r="B591" s="218">
        <f>'ROL SEP'!C37</f>
        <v>2100854088</v>
      </c>
      <c r="C591" s="4"/>
      <c r="D591" s="13"/>
    </row>
    <row r="592" spans="1:4" x14ac:dyDescent="0.3">
      <c r="A592" s="11" t="s">
        <v>3</v>
      </c>
      <c r="B592" s="3" t="str">
        <f>'ROL SEP'!E37</f>
        <v>CONDUCTOR</v>
      </c>
      <c r="C592" s="4"/>
      <c r="D592" s="14"/>
    </row>
    <row r="593" spans="1:4" x14ac:dyDescent="0.3">
      <c r="A593" s="11" t="s">
        <v>26</v>
      </c>
      <c r="B593" s="3" t="str">
        <f>'ROL SEP'!A37</f>
        <v>SEPTIEMBRE</v>
      </c>
      <c r="C593" s="4"/>
      <c r="D593" s="15"/>
    </row>
    <row r="594" spans="1:4" x14ac:dyDescent="0.3">
      <c r="A594" s="11" t="s">
        <v>99</v>
      </c>
      <c r="B594" s="55">
        <f>'ROL SEP'!B37</f>
        <v>2023</v>
      </c>
      <c r="C594" s="4"/>
      <c r="D594" s="15"/>
    </row>
    <row r="595" spans="1:4" x14ac:dyDescent="0.3">
      <c r="A595" s="203" t="s">
        <v>94</v>
      </c>
      <c r="B595" s="204"/>
      <c r="C595" s="205" t="s">
        <v>5</v>
      </c>
      <c r="D595" s="206" t="s">
        <v>6</v>
      </c>
    </row>
    <row r="596" spans="1:4" x14ac:dyDescent="0.3">
      <c r="A596" s="18"/>
      <c r="B596" s="6"/>
      <c r="C596" s="7"/>
      <c r="D596" s="19"/>
    </row>
    <row r="597" spans="1:4" x14ac:dyDescent="0.3">
      <c r="A597" s="26" t="s">
        <v>16</v>
      </c>
      <c r="B597" s="27"/>
      <c r="C597" s="28">
        <f>'ROL SEP'!F37</f>
        <v>566</v>
      </c>
      <c r="D597" s="29"/>
    </row>
    <row r="598" spans="1:4" x14ac:dyDescent="0.3">
      <c r="A598" s="26" t="s">
        <v>105</v>
      </c>
      <c r="B598" s="27"/>
      <c r="C598" s="28"/>
      <c r="D598" s="29"/>
    </row>
    <row r="599" spans="1:4" x14ac:dyDescent="0.3">
      <c r="A599" s="26" t="s">
        <v>8</v>
      </c>
      <c r="B599" s="27"/>
      <c r="C599" s="28"/>
      <c r="D599" s="29"/>
    </row>
    <row r="600" spans="1:4" x14ac:dyDescent="0.3">
      <c r="A600" s="26" t="s">
        <v>9</v>
      </c>
      <c r="B600" s="27"/>
      <c r="C600" s="28"/>
      <c r="D600" s="29"/>
    </row>
    <row r="601" spans="1:4" ht="24" x14ac:dyDescent="0.3">
      <c r="A601" s="26"/>
      <c r="B601" s="27" t="s">
        <v>10</v>
      </c>
      <c r="C601" s="28"/>
      <c r="D601" s="29">
        <f>'ROL SEP'!L37</f>
        <v>48.138299999999994</v>
      </c>
    </row>
    <row r="602" spans="1:4" ht="24" x14ac:dyDescent="0.3">
      <c r="A602" s="26"/>
      <c r="B602" s="27" t="s">
        <v>11</v>
      </c>
      <c r="C602" s="28"/>
      <c r="D602" s="29">
        <f>'ROL SEP'!O37</f>
        <v>0</v>
      </c>
    </row>
    <row r="603" spans="1:4" x14ac:dyDescent="0.3">
      <c r="A603" s="26"/>
      <c r="B603" s="27" t="s">
        <v>55</v>
      </c>
      <c r="C603" s="28"/>
      <c r="D603" s="29">
        <f>'ROL SEP'!S37</f>
        <v>0</v>
      </c>
    </row>
    <row r="604" spans="1:4" ht="24" x14ac:dyDescent="0.3">
      <c r="A604" s="26"/>
      <c r="B604" s="27" t="s">
        <v>18</v>
      </c>
      <c r="C604" s="28"/>
      <c r="D604" s="29">
        <f>'ROL SEP'!P37</f>
        <v>130</v>
      </c>
    </row>
    <row r="605" spans="1:4" x14ac:dyDescent="0.3">
      <c r="A605" s="207"/>
      <c r="B605" s="208" t="s">
        <v>12</v>
      </c>
      <c r="C605" s="209">
        <f>SUM(C597:C604)</f>
        <v>566</v>
      </c>
      <c r="D605" s="210">
        <f>SUM(D597:D604)</f>
        <v>178.13829999999999</v>
      </c>
    </row>
    <row r="606" spans="1:4" ht="28.2" x14ac:dyDescent="0.3">
      <c r="A606" s="21"/>
      <c r="B606" s="45"/>
      <c r="C606" s="211" t="s">
        <v>13</v>
      </c>
      <c r="D606" s="212">
        <f>+C605-D605</f>
        <v>387.86170000000004</v>
      </c>
    </row>
    <row r="607" spans="1:4" ht="15" thickBot="1" x14ac:dyDescent="0.35">
      <c r="A607" s="23"/>
      <c r="B607" s="4" t="s">
        <v>14</v>
      </c>
      <c r="C607" s="2"/>
      <c r="D607" s="24"/>
    </row>
    <row r="608" spans="1:4" x14ac:dyDescent="0.3">
      <c r="A608" s="213" t="s">
        <v>28</v>
      </c>
      <c r="B608" s="213" t="s">
        <v>93</v>
      </c>
      <c r="C608" s="348" t="s">
        <v>30</v>
      </c>
      <c r="D608" s="349"/>
    </row>
    <row r="609" spans="1:4" x14ac:dyDescent="0.3">
      <c r="A609" s="37"/>
      <c r="B609" s="34"/>
      <c r="C609" s="32"/>
      <c r="D609" s="25"/>
    </row>
    <row r="610" spans="1:4" x14ac:dyDescent="0.3">
      <c r="A610" s="37"/>
      <c r="B610" s="34"/>
      <c r="C610" s="32"/>
      <c r="D610" s="25"/>
    </row>
    <row r="611" spans="1:4" x14ac:dyDescent="0.3">
      <c r="A611" s="37"/>
      <c r="B611" s="34"/>
      <c r="C611" s="32"/>
      <c r="D611" s="25"/>
    </row>
    <row r="612" spans="1:4" x14ac:dyDescent="0.3">
      <c r="A612" s="37"/>
      <c r="B612" s="34"/>
      <c r="C612" s="32"/>
      <c r="D612" s="25"/>
    </row>
    <row r="613" spans="1:4" x14ac:dyDescent="0.3">
      <c r="A613" s="37"/>
      <c r="B613" s="34"/>
      <c r="C613" s="32"/>
      <c r="D613" s="25"/>
    </row>
    <row r="614" spans="1:4" x14ac:dyDescent="0.3">
      <c r="A614" s="38" t="s">
        <v>298</v>
      </c>
      <c r="B614" s="35" t="s">
        <v>297</v>
      </c>
      <c r="C614" s="290" t="str">
        <f>B590</f>
        <v>VAICILLA SANCHEZ VICTOR ERICK</v>
      </c>
      <c r="D614" s="291"/>
    </row>
    <row r="615" spans="1:4" ht="15" thickBot="1" x14ac:dyDescent="0.35">
      <c r="A615" s="36" t="s">
        <v>246</v>
      </c>
      <c r="B615" s="33" t="s">
        <v>299</v>
      </c>
      <c r="C615" s="353">
        <f>B591</f>
        <v>2100854088</v>
      </c>
      <c r="D615" s="354"/>
    </row>
  </sheetData>
  <mergeCells count="90">
    <mergeCell ref="C615:D615"/>
    <mergeCell ref="C544:D544"/>
    <mergeCell ref="C545:D545"/>
    <mergeCell ref="A554:D556"/>
    <mergeCell ref="A557:D557"/>
    <mergeCell ref="C576:D576"/>
    <mergeCell ref="C582:D582"/>
    <mergeCell ref="C583:D583"/>
    <mergeCell ref="A586:D588"/>
    <mergeCell ref="A589:D589"/>
    <mergeCell ref="C608:D608"/>
    <mergeCell ref="C614:D614"/>
    <mergeCell ref="C538:D538"/>
    <mergeCell ref="A449:D449"/>
    <mergeCell ref="C468:D468"/>
    <mergeCell ref="C474:D474"/>
    <mergeCell ref="C475:D475"/>
    <mergeCell ref="A484:D486"/>
    <mergeCell ref="A487:D487"/>
    <mergeCell ref="C506:D506"/>
    <mergeCell ref="C512:D512"/>
    <mergeCell ref="C513:D513"/>
    <mergeCell ref="A516:D518"/>
    <mergeCell ref="A519:D519"/>
    <mergeCell ref="A446:D448"/>
    <mergeCell ref="C373:D373"/>
    <mergeCell ref="A376:D378"/>
    <mergeCell ref="A379:D379"/>
    <mergeCell ref="C398:D398"/>
    <mergeCell ref="C404:D404"/>
    <mergeCell ref="C405:D405"/>
    <mergeCell ref="A414:D416"/>
    <mergeCell ref="A417:D417"/>
    <mergeCell ref="C436:D436"/>
    <mergeCell ref="C442:D442"/>
    <mergeCell ref="C443:D443"/>
    <mergeCell ref="C372:D372"/>
    <mergeCell ref="C296:D296"/>
    <mergeCell ref="C302:D302"/>
    <mergeCell ref="C303:D303"/>
    <mergeCell ref="A306:D308"/>
    <mergeCell ref="A309:D309"/>
    <mergeCell ref="C328:D328"/>
    <mergeCell ref="C334:D334"/>
    <mergeCell ref="C335:D335"/>
    <mergeCell ref="A344:D346"/>
    <mergeCell ref="A347:D347"/>
    <mergeCell ref="C366:D366"/>
    <mergeCell ref="A277:D277"/>
    <mergeCell ref="A204:D206"/>
    <mergeCell ref="A207:D207"/>
    <mergeCell ref="C226:D226"/>
    <mergeCell ref="C232:D232"/>
    <mergeCell ref="C233:D233"/>
    <mergeCell ref="A236:D238"/>
    <mergeCell ref="A239:D239"/>
    <mergeCell ref="C258:D258"/>
    <mergeCell ref="C264:D264"/>
    <mergeCell ref="C265:D265"/>
    <mergeCell ref="A274:D276"/>
    <mergeCell ref="C195:D195"/>
    <mergeCell ref="C129:D129"/>
    <mergeCell ref="C130:D130"/>
    <mergeCell ref="A134:D136"/>
    <mergeCell ref="A137:D137"/>
    <mergeCell ref="C156:D156"/>
    <mergeCell ref="C162:D162"/>
    <mergeCell ref="C163:D163"/>
    <mergeCell ref="A166:D168"/>
    <mergeCell ref="A169:D169"/>
    <mergeCell ref="C188:D188"/>
    <mergeCell ref="C194:D194"/>
    <mergeCell ref="C123:D123"/>
    <mergeCell ref="A36:D36"/>
    <mergeCell ref="C55:D55"/>
    <mergeCell ref="C61:D61"/>
    <mergeCell ref="C62:D62"/>
    <mergeCell ref="A69:D71"/>
    <mergeCell ref="A72:D72"/>
    <mergeCell ref="C91:D91"/>
    <mergeCell ref="C97:D97"/>
    <mergeCell ref="C98:D98"/>
    <mergeCell ref="A101:D103"/>
    <mergeCell ref="A104:D104"/>
    <mergeCell ref="A33:D35"/>
    <mergeCell ref="A1:D3"/>
    <mergeCell ref="A4:D4"/>
    <mergeCell ref="C23:D23"/>
    <mergeCell ref="C29:D29"/>
    <mergeCell ref="C30:D30"/>
  </mergeCells>
  <pageMargins left="0.7" right="0.7" top="0.75" bottom="0.75" header="0.3" footer="0.3"/>
  <pageSetup paperSize="9" scale="85" orientation="portrait" horizontalDpi="0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68"/>
  <sheetViews>
    <sheetView topLeftCell="A21" zoomScale="69" zoomScaleNormal="69" workbookViewId="0">
      <selection activeCell="T46" sqref="T46"/>
    </sheetView>
  </sheetViews>
  <sheetFormatPr baseColWidth="10" defaultRowHeight="15.6" outlineLevelCol="1" x14ac:dyDescent="0.3"/>
  <cols>
    <col min="1" max="1" width="8.6640625" bestFit="1" customWidth="1"/>
    <col min="2" max="2" width="7.33203125" customWidth="1"/>
    <col min="3" max="3" width="15.5546875" customWidth="1"/>
    <col min="4" max="4" width="33.33203125" customWidth="1"/>
    <col min="5" max="5" width="18.109375" customWidth="1"/>
    <col min="6" max="6" width="10.77734375" bestFit="1" customWidth="1"/>
    <col min="7" max="7" width="7.77734375" customWidth="1" outlineLevel="1"/>
    <col min="8" max="8" width="9.33203125" customWidth="1" outlineLevel="1"/>
    <col min="9" max="9" width="9" customWidth="1" outlineLevel="1"/>
    <col min="10" max="10" width="8.33203125" customWidth="1" outlineLevel="1"/>
    <col min="11" max="11" width="9.77734375" customWidth="1" outlineLevel="1"/>
    <col min="12" max="12" width="9.88671875" customWidth="1" outlineLevel="1"/>
    <col min="13" max="13" width="10.109375" customWidth="1" outlineLevel="1"/>
    <col min="14" max="14" width="7" customWidth="1" outlineLevel="1"/>
    <col min="15" max="15" width="7.77734375" customWidth="1" outlineLevel="1"/>
    <col min="16" max="16" width="7.6640625" customWidth="1" outlineLevel="1"/>
    <col min="17" max="17" width="7.77734375" customWidth="1" outlineLevel="1"/>
    <col min="18" max="18" width="8" customWidth="1"/>
    <col min="21" max="21" width="24" customWidth="1"/>
    <col min="22" max="22" width="15.5546875" style="123" customWidth="1"/>
    <col min="23" max="23" width="18.33203125" style="126" customWidth="1"/>
    <col min="24" max="24" width="13.88671875" customWidth="1"/>
    <col min="25" max="25" width="10" customWidth="1"/>
  </cols>
  <sheetData>
    <row r="1" spans="1:24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/>
    </row>
    <row r="2" spans="1:24" x14ac:dyDescent="0.3">
      <c r="A2" s="307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9"/>
    </row>
    <row r="3" spans="1:24" x14ac:dyDescent="0.3">
      <c r="A3" s="307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9"/>
    </row>
    <row r="4" spans="1:24" x14ac:dyDescent="0.3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9"/>
    </row>
    <row r="5" spans="1:24" ht="16.2" thickBot="1" x14ac:dyDescent="0.35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2"/>
    </row>
    <row r="6" spans="1:24" ht="18.600000000000001" thickBot="1" x14ac:dyDescent="0.4">
      <c r="A6" s="318" t="s">
        <v>314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1:24" ht="55.2" customHeight="1" x14ac:dyDescent="0.3">
      <c r="A7" s="116" t="s">
        <v>143</v>
      </c>
      <c r="B7" s="117" t="s">
        <v>144</v>
      </c>
      <c r="C7" s="117" t="s">
        <v>145</v>
      </c>
      <c r="D7" s="117" t="s">
        <v>146</v>
      </c>
      <c r="E7" s="117" t="s">
        <v>147</v>
      </c>
      <c r="F7" s="117" t="s">
        <v>148</v>
      </c>
      <c r="G7" s="117" t="s">
        <v>177</v>
      </c>
      <c r="H7" s="117" t="s">
        <v>174</v>
      </c>
      <c r="I7" s="117" t="s">
        <v>149</v>
      </c>
      <c r="J7" s="117" t="s">
        <v>150</v>
      </c>
      <c r="K7" s="117" t="s">
        <v>152</v>
      </c>
      <c r="L7" s="117" t="s">
        <v>186</v>
      </c>
      <c r="M7" s="117" t="s">
        <v>154</v>
      </c>
      <c r="N7" s="117" t="s">
        <v>155</v>
      </c>
      <c r="O7" s="117" t="s">
        <v>156</v>
      </c>
      <c r="P7" s="117" t="s">
        <v>157</v>
      </c>
      <c r="Q7" s="117" t="s">
        <v>158</v>
      </c>
      <c r="R7" s="117" t="s">
        <v>159</v>
      </c>
      <c r="S7" s="117" t="s">
        <v>160</v>
      </c>
      <c r="T7" s="117" t="s">
        <v>13</v>
      </c>
      <c r="U7" s="118" t="s">
        <v>161</v>
      </c>
      <c r="V7" s="129" t="s">
        <v>220</v>
      </c>
      <c r="W7" s="130" t="s">
        <v>229</v>
      </c>
      <c r="X7" s="127" t="s">
        <v>219</v>
      </c>
    </row>
    <row r="8" spans="1:24" ht="28.8" customHeight="1" x14ac:dyDescent="0.3">
      <c r="A8" s="71" t="s">
        <v>315</v>
      </c>
      <c r="B8" s="71">
        <v>2023</v>
      </c>
      <c r="C8" s="94">
        <v>1500721202</v>
      </c>
      <c r="D8" s="64" t="s">
        <v>163</v>
      </c>
      <c r="E8" s="65" t="s">
        <v>301</v>
      </c>
      <c r="F8" s="63">
        <v>1340</v>
      </c>
      <c r="G8" s="63">
        <v>30</v>
      </c>
      <c r="H8" s="72">
        <f t="shared" ref="H8:H13" si="0">ROUND(F8/30*G8,2)</f>
        <v>1340</v>
      </c>
      <c r="I8" s="72"/>
      <c r="J8" s="63"/>
      <c r="K8" s="119">
        <f t="shared" ref="K8:K13" si="1">ROUND(H8+I8+J8,2)</f>
        <v>1340</v>
      </c>
      <c r="L8" s="83">
        <f t="shared" ref="L8:L13" si="2">ROUND(H8*11.45%,2)</f>
        <v>153.43</v>
      </c>
      <c r="M8" s="83">
        <f t="shared" ref="M8:M13" si="3">ROUND(H8*11.65%,2)</f>
        <v>156.11000000000001</v>
      </c>
      <c r="N8" s="63">
        <v>51</v>
      </c>
      <c r="O8" s="102"/>
      <c r="P8" s="102"/>
      <c r="Q8" s="63"/>
      <c r="R8" s="120">
        <f t="shared" ref="R8:R13" si="4">L8+O8+P8+Q8</f>
        <v>153.43</v>
      </c>
      <c r="S8" s="240">
        <f>1340*2/7</f>
        <v>382.85714285714283</v>
      </c>
      <c r="T8" s="140">
        <f t="shared" ref="T8:T13" si="5">+K8-R8-S8</f>
        <v>803.71285714285705</v>
      </c>
      <c r="U8" s="63"/>
      <c r="V8" s="123" t="s">
        <v>207</v>
      </c>
      <c r="W8" s="126" t="s">
        <v>206</v>
      </c>
      <c r="X8">
        <v>1700511</v>
      </c>
    </row>
    <row r="9" spans="1:24" ht="28.8" customHeight="1" x14ac:dyDescent="0.3">
      <c r="A9" s="71" t="s">
        <v>315</v>
      </c>
      <c r="B9" s="71">
        <v>2023</v>
      </c>
      <c r="C9" s="95" t="s">
        <v>198</v>
      </c>
      <c r="D9" s="66" t="s">
        <v>164</v>
      </c>
      <c r="E9" s="65" t="s">
        <v>169</v>
      </c>
      <c r="F9" s="63">
        <v>536</v>
      </c>
      <c r="G9" s="63">
        <v>30</v>
      </c>
      <c r="H9" s="72">
        <f t="shared" si="0"/>
        <v>536</v>
      </c>
      <c r="I9" s="72"/>
      <c r="J9" s="63"/>
      <c r="K9" s="119">
        <f t="shared" si="1"/>
        <v>536</v>
      </c>
      <c r="L9" s="83">
        <f t="shared" si="2"/>
        <v>61.37</v>
      </c>
      <c r="M9" s="83">
        <f t="shared" si="3"/>
        <v>62.44</v>
      </c>
      <c r="N9" s="63">
        <v>51</v>
      </c>
      <c r="O9" s="264">
        <v>187</v>
      </c>
      <c r="P9" s="99"/>
      <c r="Q9" s="99"/>
      <c r="R9" s="120">
        <f t="shared" si="4"/>
        <v>248.37</v>
      </c>
      <c r="S9" s="122">
        <f>536/3</f>
        <v>178.66666666666666</v>
      </c>
      <c r="T9" s="140">
        <f t="shared" si="5"/>
        <v>108.96333333333334</v>
      </c>
      <c r="U9" s="63"/>
      <c r="V9" s="123" t="s">
        <v>211</v>
      </c>
      <c r="W9" s="126" t="s">
        <v>205</v>
      </c>
      <c r="X9">
        <v>1410036</v>
      </c>
    </row>
    <row r="10" spans="1:24" ht="28.8" customHeight="1" x14ac:dyDescent="0.3">
      <c r="A10" s="71" t="s">
        <v>315</v>
      </c>
      <c r="B10" s="71">
        <v>2023</v>
      </c>
      <c r="C10" s="95" t="s">
        <v>199</v>
      </c>
      <c r="D10" s="64" t="s">
        <v>302</v>
      </c>
      <c r="E10" s="65" t="s">
        <v>170</v>
      </c>
      <c r="F10" s="63">
        <v>536</v>
      </c>
      <c r="G10" s="63">
        <v>30</v>
      </c>
      <c r="H10" s="72">
        <f t="shared" si="0"/>
        <v>536</v>
      </c>
      <c r="I10" s="72"/>
      <c r="J10" s="63"/>
      <c r="K10" s="119">
        <f t="shared" si="1"/>
        <v>536</v>
      </c>
      <c r="L10" s="83">
        <f t="shared" si="2"/>
        <v>61.37</v>
      </c>
      <c r="M10" s="83">
        <f t="shared" si="3"/>
        <v>62.44</v>
      </c>
      <c r="N10" s="63">
        <v>51</v>
      </c>
      <c r="O10" s="102"/>
      <c r="P10" s="264">
        <v>63.5</v>
      </c>
      <c r="Q10" s="63"/>
      <c r="R10" s="120">
        <f t="shared" si="4"/>
        <v>124.87</v>
      </c>
      <c r="S10" s="103">
        <f>536*3/6</f>
        <v>268</v>
      </c>
      <c r="T10" s="140">
        <f t="shared" si="5"/>
        <v>143.13</v>
      </c>
      <c r="U10" s="63"/>
      <c r="V10" s="123" t="s">
        <v>210</v>
      </c>
      <c r="W10" s="126" t="s">
        <v>205</v>
      </c>
      <c r="X10">
        <v>1410036</v>
      </c>
    </row>
    <row r="11" spans="1:24" ht="28.8" customHeight="1" x14ac:dyDescent="0.3">
      <c r="A11" s="71" t="s">
        <v>315</v>
      </c>
      <c r="B11" s="71">
        <v>2023</v>
      </c>
      <c r="C11" s="96">
        <v>1500367295</v>
      </c>
      <c r="D11" s="64" t="s">
        <v>166</v>
      </c>
      <c r="E11" s="65" t="s">
        <v>171</v>
      </c>
      <c r="F11" s="63">
        <v>536</v>
      </c>
      <c r="G11" s="63">
        <v>30</v>
      </c>
      <c r="H11" s="72">
        <f t="shared" si="0"/>
        <v>536</v>
      </c>
      <c r="I11" s="72"/>
      <c r="J11" s="63"/>
      <c r="K11" s="119">
        <f t="shared" si="1"/>
        <v>536</v>
      </c>
      <c r="L11" s="83">
        <f t="shared" si="2"/>
        <v>61.37</v>
      </c>
      <c r="M11" s="83">
        <f t="shared" si="3"/>
        <v>62.44</v>
      </c>
      <c r="N11" s="63">
        <v>51</v>
      </c>
      <c r="O11" s="102"/>
      <c r="P11" s="264">
        <v>85</v>
      </c>
      <c r="Q11" s="63"/>
      <c r="R11" s="120">
        <f>L11+O11+P11+Q11</f>
        <v>146.37</v>
      </c>
      <c r="S11" s="103">
        <f>536*3/6</f>
        <v>268</v>
      </c>
      <c r="T11" s="140">
        <f>+K11-R11-S11</f>
        <v>121.63</v>
      </c>
      <c r="U11" s="63"/>
      <c r="V11" s="123">
        <v>4005110329</v>
      </c>
      <c r="W11" s="126" t="s">
        <v>205</v>
      </c>
      <c r="X11">
        <v>1410036</v>
      </c>
    </row>
    <row r="12" spans="1:24" ht="28.8" customHeight="1" x14ac:dyDescent="0.3">
      <c r="A12" s="71" t="s">
        <v>315</v>
      </c>
      <c r="B12" s="71">
        <v>2023</v>
      </c>
      <c r="C12" s="97">
        <v>1500814940</v>
      </c>
      <c r="D12" s="66" t="s">
        <v>167</v>
      </c>
      <c r="E12" s="65" t="s">
        <v>172</v>
      </c>
      <c r="F12" s="63">
        <v>536</v>
      </c>
      <c r="G12" s="63">
        <v>30</v>
      </c>
      <c r="H12" s="72">
        <f t="shared" si="0"/>
        <v>536</v>
      </c>
      <c r="I12" s="72"/>
      <c r="J12" s="63"/>
      <c r="K12" s="119">
        <f t="shared" si="1"/>
        <v>536</v>
      </c>
      <c r="L12" s="83">
        <f t="shared" si="2"/>
        <v>61.37</v>
      </c>
      <c r="M12" s="83">
        <f t="shared" si="3"/>
        <v>62.44</v>
      </c>
      <c r="N12" s="63">
        <v>51</v>
      </c>
      <c r="O12" s="102"/>
      <c r="P12" s="264">
        <v>242</v>
      </c>
      <c r="Q12" s="63"/>
      <c r="R12" s="120">
        <f t="shared" si="4"/>
        <v>303.37</v>
      </c>
      <c r="S12" s="122">
        <f>536*3/7</f>
        <v>229.71428571428572</v>
      </c>
      <c r="T12" s="140">
        <f>+K12-R12-S12</f>
        <v>2.915714285714273</v>
      </c>
      <c r="U12" s="63"/>
      <c r="V12" s="123" t="s">
        <v>286</v>
      </c>
      <c r="W12" s="126" t="s">
        <v>209</v>
      </c>
      <c r="X12">
        <v>1600022</v>
      </c>
    </row>
    <row r="13" spans="1:24" ht="28.8" customHeight="1" x14ac:dyDescent="0.3">
      <c r="A13" s="71" t="s">
        <v>315</v>
      </c>
      <c r="B13" s="71">
        <v>2023</v>
      </c>
      <c r="C13" s="98" t="s">
        <v>200</v>
      </c>
      <c r="D13" s="67" t="s">
        <v>168</v>
      </c>
      <c r="E13" s="68" t="s">
        <v>173</v>
      </c>
      <c r="F13" s="63">
        <v>733</v>
      </c>
      <c r="G13" s="63">
        <v>30</v>
      </c>
      <c r="H13" s="72">
        <f t="shared" si="0"/>
        <v>733</v>
      </c>
      <c r="I13" s="72"/>
      <c r="J13" s="63"/>
      <c r="K13" s="119">
        <f t="shared" si="1"/>
        <v>733</v>
      </c>
      <c r="L13" s="83">
        <f t="shared" si="2"/>
        <v>83.93</v>
      </c>
      <c r="M13" s="83">
        <f t="shared" si="3"/>
        <v>85.39</v>
      </c>
      <c r="N13" s="63">
        <v>51</v>
      </c>
      <c r="O13" s="63"/>
      <c r="P13" s="63"/>
      <c r="Q13" s="63"/>
      <c r="R13" s="120">
        <f t="shared" si="4"/>
        <v>83.93</v>
      </c>
      <c r="S13" s="63"/>
      <c r="T13" s="140">
        <f t="shared" si="5"/>
        <v>649.06999999999994</v>
      </c>
      <c r="U13" s="63"/>
      <c r="V13" s="123" t="s">
        <v>208</v>
      </c>
      <c r="W13" s="126" t="s">
        <v>209</v>
      </c>
      <c r="X13">
        <v>1600022</v>
      </c>
    </row>
    <row r="14" spans="1:24" ht="28.8" customHeight="1" x14ac:dyDescent="0.3">
      <c r="A14" s="327" t="s">
        <v>185</v>
      </c>
      <c r="B14" s="328"/>
      <c r="C14" s="328"/>
      <c r="D14" s="328"/>
      <c r="E14" s="329"/>
      <c r="F14" s="149">
        <f>SUM(F8:F13)</f>
        <v>4217</v>
      </c>
      <c r="G14" s="149">
        <f t="shared" ref="G14:S14" si="6">SUM(G8:G13)</f>
        <v>180</v>
      </c>
      <c r="H14" s="149">
        <f t="shared" si="6"/>
        <v>4217</v>
      </c>
      <c r="I14" s="149">
        <f t="shared" si="6"/>
        <v>0</v>
      </c>
      <c r="J14" s="149">
        <f t="shared" si="6"/>
        <v>0</v>
      </c>
      <c r="K14" s="149">
        <f t="shared" si="6"/>
        <v>4217</v>
      </c>
      <c r="L14" s="149">
        <f t="shared" si="6"/>
        <v>482.84000000000003</v>
      </c>
      <c r="M14" s="149">
        <f>SUM(M8:M13)</f>
        <v>491.26</v>
      </c>
      <c r="N14" s="149">
        <f t="shared" si="6"/>
        <v>306</v>
      </c>
      <c r="O14" s="149">
        <f t="shared" si="6"/>
        <v>187</v>
      </c>
      <c r="P14" s="149">
        <f t="shared" si="6"/>
        <v>390.5</v>
      </c>
      <c r="Q14" s="149">
        <f t="shared" si="6"/>
        <v>0</v>
      </c>
      <c r="R14" s="150">
        <f t="shared" si="6"/>
        <v>1060.3400000000001</v>
      </c>
      <c r="S14" s="149">
        <f t="shared" si="6"/>
        <v>1327.2380952380954</v>
      </c>
      <c r="T14" s="155">
        <f>SUM(T8:T13)</f>
        <v>1829.4219047619047</v>
      </c>
      <c r="U14" s="93"/>
      <c r="W14" s="180"/>
    </row>
    <row r="15" spans="1:24" x14ac:dyDescent="0.3">
      <c r="A15" s="69"/>
      <c r="B15" s="69"/>
      <c r="C15" s="80"/>
      <c r="D15" s="81"/>
      <c r="E15" s="82"/>
      <c r="F15" s="2"/>
      <c r="G15" s="2"/>
      <c r="H15" s="70"/>
      <c r="I15" s="2"/>
      <c r="J15" s="2"/>
      <c r="K15" s="2"/>
      <c r="L15" s="159"/>
      <c r="M15" s="2"/>
      <c r="N15" s="2"/>
      <c r="O15" s="2"/>
      <c r="P15" s="2"/>
      <c r="Q15" s="2"/>
      <c r="R15" s="2"/>
      <c r="S15" s="2"/>
      <c r="T15" s="2"/>
      <c r="U15" s="2"/>
      <c r="W15" s="262"/>
    </row>
    <row r="16" spans="1:24" x14ac:dyDescent="0.3">
      <c r="A16" s="69"/>
      <c r="B16" s="69"/>
      <c r="C16" s="80"/>
      <c r="D16" s="81"/>
      <c r="E16" s="330" t="s">
        <v>28</v>
      </c>
      <c r="F16" s="330"/>
      <c r="G16" s="330"/>
      <c r="H16" s="84"/>
      <c r="I16" s="85"/>
      <c r="J16" s="85"/>
      <c r="K16" s="86"/>
      <c r="L16" s="330" t="s">
        <v>187</v>
      </c>
      <c r="M16" s="330"/>
      <c r="N16" s="330"/>
      <c r="O16" s="330"/>
      <c r="P16" s="330"/>
      <c r="Q16" s="330"/>
      <c r="R16" s="2"/>
      <c r="S16" s="2"/>
      <c r="T16" s="2"/>
      <c r="U16" s="2"/>
      <c r="W16" s="180"/>
    </row>
    <row r="17" spans="1:24" x14ac:dyDescent="0.3">
      <c r="A17" s="69"/>
      <c r="B17" s="69"/>
      <c r="C17" s="80"/>
      <c r="D17" s="81"/>
      <c r="E17" s="255"/>
      <c r="F17" s="255"/>
      <c r="G17" s="255"/>
      <c r="H17" s="84"/>
      <c r="I17" s="85"/>
      <c r="J17" s="85"/>
      <c r="K17" s="86"/>
      <c r="L17" s="255"/>
      <c r="M17" s="255"/>
      <c r="N17" s="255"/>
      <c r="O17" s="255"/>
      <c r="P17" s="255"/>
      <c r="Q17" s="255"/>
      <c r="R17" s="2"/>
      <c r="S17" s="2"/>
      <c r="T17" s="2"/>
      <c r="U17" s="2"/>
      <c r="W17" s="263"/>
    </row>
    <row r="18" spans="1:24" x14ac:dyDescent="0.3">
      <c r="E18" s="145"/>
      <c r="F18" s="146"/>
      <c r="G18" s="145"/>
      <c r="H18" s="146"/>
      <c r="I18" s="85"/>
      <c r="J18" s="85"/>
      <c r="K18" s="88"/>
      <c r="L18" s="88"/>
      <c r="M18" s="88"/>
      <c r="N18" s="88"/>
      <c r="O18" s="88"/>
      <c r="P18" s="89"/>
      <c r="Q18" s="89"/>
      <c r="W18" s="180"/>
    </row>
    <row r="19" spans="1:24" x14ac:dyDescent="0.3">
      <c r="E19" s="317" t="s">
        <v>188</v>
      </c>
      <c r="F19" s="317"/>
      <c r="G19" s="317"/>
      <c r="H19" s="317"/>
      <c r="I19" s="85"/>
      <c r="J19" s="85"/>
      <c r="K19" s="88"/>
      <c r="L19" s="331" t="s">
        <v>189</v>
      </c>
      <c r="M19" s="331"/>
      <c r="N19" s="331"/>
      <c r="O19" s="331"/>
      <c r="P19" s="331"/>
      <c r="Q19" s="331"/>
    </row>
    <row r="20" spans="1:24" x14ac:dyDescent="0.3">
      <c r="E20" s="316" t="s">
        <v>238</v>
      </c>
      <c r="F20" s="316"/>
      <c r="G20" s="316"/>
      <c r="H20" s="316"/>
      <c r="L20" s="316" t="s">
        <v>237</v>
      </c>
      <c r="M20" s="316"/>
      <c r="N20" s="316"/>
      <c r="O20" s="316"/>
      <c r="P20" s="316"/>
      <c r="Q20" s="316"/>
    </row>
    <row r="21" spans="1:24" ht="16.2" thickBot="1" x14ac:dyDescent="0.35">
      <c r="E21" s="256"/>
      <c r="F21" s="256"/>
      <c r="G21" s="256"/>
      <c r="H21" s="84"/>
      <c r="I21" s="85"/>
      <c r="J21" s="85"/>
      <c r="K21" s="88"/>
      <c r="L21" s="256"/>
      <c r="M21" s="256"/>
      <c r="N21" s="256"/>
      <c r="O21" s="256"/>
      <c r="P21" s="256"/>
      <c r="Q21" s="256"/>
    </row>
    <row r="22" spans="1:24" ht="25.2" customHeight="1" x14ac:dyDescent="0.3">
      <c r="A22" s="294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6"/>
    </row>
    <row r="23" spans="1:24" x14ac:dyDescent="0.3">
      <c r="A23" s="307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9"/>
    </row>
    <row r="24" spans="1:24" x14ac:dyDescent="0.3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9"/>
    </row>
    <row r="25" spans="1:24" x14ac:dyDescent="0.3">
      <c r="A25" s="307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9"/>
    </row>
    <row r="26" spans="1:24" ht="16.2" thickBot="1" x14ac:dyDescent="0.35">
      <c r="A26" s="307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9"/>
    </row>
    <row r="27" spans="1:24" ht="18.600000000000001" thickBot="1" x14ac:dyDescent="0.4">
      <c r="A27" s="321" t="s">
        <v>317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3"/>
    </row>
    <row r="28" spans="1:24" ht="57.6" x14ac:dyDescent="0.3">
      <c r="A28" s="108" t="s">
        <v>143</v>
      </c>
      <c r="B28" s="109" t="s">
        <v>144</v>
      </c>
      <c r="C28" s="109" t="s">
        <v>145</v>
      </c>
      <c r="D28" s="109" t="s">
        <v>146</v>
      </c>
      <c r="E28" s="109" t="s">
        <v>147</v>
      </c>
      <c r="F28" s="109" t="s">
        <v>148</v>
      </c>
      <c r="G28" s="109" t="s">
        <v>151</v>
      </c>
      <c r="H28" s="109" t="s">
        <v>174</v>
      </c>
      <c r="I28" s="109" t="s">
        <v>149</v>
      </c>
      <c r="J28" s="109" t="s">
        <v>150</v>
      </c>
      <c r="K28" s="109" t="s">
        <v>152</v>
      </c>
      <c r="L28" s="109" t="s">
        <v>153</v>
      </c>
      <c r="M28" s="109" t="s">
        <v>197</v>
      </c>
      <c r="N28" s="109" t="s">
        <v>155</v>
      </c>
      <c r="O28" s="109" t="s">
        <v>305</v>
      </c>
      <c r="P28" s="109" t="s">
        <v>157</v>
      </c>
      <c r="Q28" s="109" t="s">
        <v>158</v>
      </c>
      <c r="R28" s="109" t="s">
        <v>159</v>
      </c>
      <c r="S28" s="109" t="s">
        <v>160</v>
      </c>
      <c r="T28" s="109" t="s">
        <v>13</v>
      </c>
      <c r="U28" s="115" t="s">
        <v>161</v>
      </c>
      <c r="V28" s="131" t="s">
        <v>220</v>
      </c>
      <c r="W28" s="132" t="s">
        <v>229</v>
      </c>
      <c r="X28" s="133" t="s">
        <v>219</v>
      </c>
    </row>
    <row r="29" spans="1:24" ht="31.2" customHeight="1" x14ac:dyDescent="0.3">
      <c r="A29" s="220" t="s">
        <v>315</v>
      </c>
      <c r="B29" s="220">
        <v>2023</v>
      </c>
      <c r="C29" s="223" t="s">
        <v>179</v>
      </c>
      <c r="D29" s="223" t="s">
        <v>178</v>
      </c>
      <c r="E29" s="223" t="s">
        <v>183</v>
      </c>
      <c r="F29" s="225">
        <v>553</v>
      </c>
      <c r="G29" s="220">
        <v>30</v>
      </c>
      <c r="H29" s="226">
        <f>ROUND(F29/30*G29,2)</f>
        <v>553</v>
      </c>
      <c r="I29" s="220"/>
      <c r="J29" s="220"/>
      <c r="K29" s="227">
        <f>ROUND(H29+I29+J29,2)</f>
        <v>553</v>
      </c>
      <c r="L29" s="226">
        <f>F29*9.45%</f>
        <v>52.258499999999991</v>
      </c>
      <c r="M29" s="226">
        <f>F29*12.15%</f>
        <v>67.189499999999995</v>
      </c>
      <c r="N29" s="220">
        <v>71</v>
      </c>
      <c r="O29" s="266">
        <v>225</v>
      </c>
      <c r="P29" s="228"/>
      <c r="Q29" s="228"/>
      <c r="R29" s="226">
        <f t="shared" ref="R29:R37" si="7">L29+O29+P29+Q29</f>
        <v>277.25849999999997</v>
      </c>
      <c r="S29" s="266">
        <v>250</v>
      </c>
      <c r="T29" s="229">
        <f t="shared" ref="T29:T37" si="8">K29-R29-S29</f>
        <v>25.74150000000003</v>
      </c>
      <c r="U29" s="230"/>
      <c r="V29" s="123" t="s">
        <v>254</v>
      </c>
      <c r="W29" s="123" t="s">
        <v>209</v>
      </c>
      <c r="X29" s="231">
        <v>1600022</v>
      </c>
    </row>
    <row r="30" spans="1:24" ht="31.2" customHeight="1" x14ac:dyDescent="0.3">
      <c r="A30" s="220" t="s">
        <v>315</v>
      </c>
      <c r="B30" s="220">
        <v>2023</v>
      </c>
      <c r="C30" s="223" t="s">
        <v>77</v>
      </c>
      <c r="D30" s="223" t="s">
        <v>73</v>
      </c>
      <c r="E30" s="223" t="s">
        <v>74</v>
      </c>
      <c r="F30" s="225">
        <v>708</v>
      </c>
      <c r="G30" s="220">
        <v>30</v>
      </c>
      <c r="H30" s="226">
        <f t="shared" ref="H30:H37" si="9">ROUND(F30/30*G30,2)</f>
        <v>708</v>
      </c>
      <c r="I30" s="220"/>
      <c r="J30" s="220"/>
      <c r="K30" s="232">
        <f t="shared" ref="K30:K35" si="10">ROUND(H30+I30+J30,2)</f>
        <v>708</v>
      </c>
      <c r="L30" s="226">
        <f t="shared" ref="L30:L36" si="11">F30*9.45%</f>
        <v>66.905999999999992</v>
      </c>
      <c r="M30" s="226">
        <f t="shared" ref="M30:M37" si="12">F30*12.15%</f>
        <v>86.021999999999991</v>
      </c>
      <c r="N30" s="220">
        <v>71</v>
      </c>
      <c r="O30" s="228"/>
      <c r="P30" s="228"/>
      <c r="Q30" s="228"/>
      <c r="R30" s="226">
        <f t="shared" si="7"/>
        <v>66.905999999999992</v>
      </c>
      <c r="S30" s="243">
        <f>1416/9</f>
        <v>157.33333333333334</v>
      </c>
      <c r="T30" s="229">
        <f t="shared" si="8"/>
        <v>483.76066666666668</v>
      </c>
      <c r="U30" s="230"/>
      <c r="V30" s="123" t="s">
        <v>221</v>
      </c>
      <c r="W30" s="123" t="s">
        <v>205</v>
      </c>
      <c r="X30" s="231">
        <v>1410036</v>
      </c>
    </row>
    <row r="31" spans="1:24" ht="36.6" customHeight="1" x14ac:dyDescent="0.3">
      <c r="A31" s="220" t="s">
        <v>315</v>
      </c>
      <c r="B31" s="220">
        <v>2023</v>
      </c>
      <c r="C31" s="223" t="s">
        <v>79</v>
      </c>
      <c r="D31" s="223" t="s">
        <v>78</v>
      </c>
      <c r="E31" s="223" t="s">
        <v>184</v>
      </c>
      <c r="F31" s="225">
        <v>566</v>
      </c>
      <c r="G31" s="220">
        <v>30</v>
      </c>
      <c r="H31" s="226">
        <f t="shared" si="9"/>
        <v>566</v>
      </c>
      <c r="I31" s="220"/>
      <c r="J31" s="220"/>
      <c r="K31" s="232">
        <f t="shared" si="10"/>
        <v>566</v>
      </c>
      <c r="L31" s="226">
        <f t="shared" si="11"/>
        <v>53.486999999999995</v>
      </c>
      <c r="M31" s="226">
        <f t="shared" si="12"/>
        <v>68.768999999999991</v>
      </c>
      <c r="N31" s="220">
        <v>71</v>
      </c>
      <c r="O31" s="267">
        <v>37.96</v>
      </c>
      <c r="P31" s="228"/>
      <c r="Q31" s="228"/>
      <c r="R31" s="226">
        <f t="shared" si="7"/>
        <v>91.447000000000003</v>
      </c>
      <c r="S31" s="239">
        <f>1698/6</f>
        <v>283</v>
      </c>
      <c r="T31" s="229">
        <f t="shared" si="8"/>
        <v>191.553</v>
      </c>
      <c r="U31" s="230"/>
      <c r="V31" s="123" t="s">
        <v>228</v>
      </c>
      <c r="W31" s="123" t="s">
        <v>209</v>
      </c>
      <c r="X31" s="231">
        <v>1600022</v>
      </c>
    </row>
    <row r="32" spans="1:24" ht="31.2" customHeight="1" x14ac:dyDescent="0.3">
      <c r="A32" s="220" t="s">
        <v>315</v>
      </c>
      <c r="B32" s="220">
        <v>2023</v>
      </c>
      <c r="C32" s="223" t="s">
        <v>180</v>
      </c>
      <c r="D32" s="223" t="s">
        <v>69</v>
      </c>
      <c r="E32" s="223" t="s">
        <v>66</v>
      </c>
      <c r="F32" s="225">
        <v>584</v>
      </c>
      <c r="G32" s="220">
        <v>30</v>
      </c>
      <c r="H32" s="226">
        <f t="shared" si="9"/>
        <v>584</v>
      </c>
      <c r="I32" s="220"/>
      <c r="J32" s="220"/>
      <c r="K32" s="232">
        <f t="shared" si="10"/>
        <v>584</v>
      </c>
      <c r="L32" s="226">
        <f t="shared" si="11"/>
        <v>55.187999999999995</v>
      </c>
      <c r="M32" s="226">
        <f t="shared" si="12"/>
        <v>70.956000000000003</v>
      </c>
      <c r="N32" s="220">
        <v>71</v>
      </c>
      <c r="O32" s="266">
        <v>63.85</v>
      </c>
      <c r="P32" s="228"/>
      <c r="Q32" s="266">
        <v>66.38</v>
      </c>
      <c r="R32" s="226">
        <f t="shared" si="7"/>
        <v>185.41800000000001</v>
      </c>
      <c r="S32" s="239">
        <f>1752/6</f>
        <v>292</v>
      </c>
      <c r="T32" s="229">
        <f t="shared" si="8"/>
        <v>106.58199999999999</v>
      </c>
      <c r="U32" s="230"/>
      <c r="V32" s="123" t="s">
        <v>222</v>
      </c>
      <c r="W32" s="123" t="s">
        <v>209</v>
      </c>
      <c r="X32" s="231">
        <v>1600022</v>
      </c>
    </row>
    <row r="33" spans="1:24" ht="31.2" customHeight="1" x14ac:dyDescent="0.3">
      <c r="A33" s="220" t="s">
        <v>315</v>
      </c>
      <c r="B33" s="220">
        <v>2023</v>
      </c>
      <c r="C33" s="223" t="s">
        <v>89</v>
      </c>
      <c r="D33" s="223" t="s">
        <v>88</v>
      </c>
      <c r="E33" s="223" t="s">
        <v>90</v>
      </c>
      <c r="F33" s="225">
        <v>527</v>
      </c>
      <c r="G33" s="220">
        <v>30</v>
      </c>
      <c r="H33" s="226">
        <f t="shared" si="9"/>
        <v>527</v>
      </c>
      <c r="I33" s="220"/>
      <c r="J33" s="220"/>
      <c r="K33" s="232">
        <f>ROUND(H33+I33+J33,2)</f>
        <v>527</v>
      </c>
      <c r="L33" s="226">
        <f t="shared" si="11"/>
        <v>49.80149999999999</v>
      </c>
      <c r="M33" s="226">
        <f t="shared" si="12"/>
        <v>64.030500000000004</v>
      </c>
      <c r="N33" s="220">
        <v>71</v>
      </c>
      <c r="O33" s="228"/>
      <c r="P33" s="228"/>
      <c r="Q33" s="228"/>
      <c r="R33" s="226">
        <f t="shared" si="7"/>
        <v>49.80149999999999</v>
      </c>
      <c r="S33" s="252"/>
      <c r="T33" s="229">
        <f t="shared" si="8"/>
        <v>477.19850000000002</v>
      </c>
      <c r="U33" s="230"/>
      <c r="V33" s="123" t="s">
        <v>218</v>
      </c>
      <c r="W33" s="123" t="s">
        <v>205</v>
      </c>
      <c r="X33" s="231">
        <v>1410036</v>
      </c>
    </row>
    <row r="34" spans="1:24" ht="31.2" customHeight="1" x14ac:dyDescent="0.3">
      <c r="A34" s="220" t="s">
        <v>315</v>
      </c>
      <c r="B34" s="220">
        <v>2023</v>
      </c>
      <c r="C34" s="223" t="s">
        <v>181</v>
      </c>
      <c r="D34" s="223" t="s">
        <v>95</v>
      </c>
      <c r="E34" s="223" t="s">
        <v>87</v>
      </c>
      <c r="F34" s="225">
        <v>500</v>
      </c>
      <c r="G34" s="220">
        <v>30</v>
      </c>
      <c r="H34" s="226">
        <f t="shared" si="9"/>
        <v>500</v>
      </c>
      <c r="I34" s="220"/>
      <c r="J34" s="220"/>
      <c r="K34" s="232">
        <f t="shared" si="10"/>
        <v>500</v>
      </c>
      <c r="L34" s="226">
        <f t="shared" si="11"/>
        <v>47.249999999999993</v>
      </c>
      <c r="M34" s="226">
        <f t="shared" si="12"/>
        <v>60.75</v>
      </c>
      <c r="N34" s="220">
        <v>71</v>
      </c>
      <c r="O34" s="266">
        <v>26.77</v>
      </c>
      <c r="P34" s="228"/>
      <c r="Q34" s="228"/>
      <c r="R34" s="226">
        <f t="shared" si="7"/>
        <v>74.02</v>
      </c>
      <c r="S34" s="239">
        <v>250</v>
      </c>
      <c r="T34" s="229">
        <f t="shared" si="8"/>
        <v>175.98000000000002</v>
      </c>
      <c r="U34" s="230"/>
      <c r="V34" s="123" t="s">
        <v>216</v>
      </c>
      <c r="W34" s="123" t="s">
        <v>217</v>
      </c>
      <c r="X34" s="231">
        <v>1700427</v>
      </c>
    </row>
    <row r="35" spans="1:24" ht="31.2" customHeight="1" x14ac:dyDescent="0.3">
      <c r="A35" s="220" t="s">
        <v>315</v>
      </c>
      <c r="B35" s="220">
        <v>2023</v>
      </c>
      <c r="C35" s="223" t="s">
        <v>182</v>
      </c>
      <c r="D35" s="223" t="s">
        <v>65</v>
      </c>
      <c r="E35" s="223" t="s">
        <v>66</v>
      </c>
      <c r="F35" s="219">
        <v>614</v>
      </c>
      <c r="G35" s="220">
        <v>30</v>
      </c>
      <c r="H35" s="226">
        <f t="shared" si="9"/>
        <v>614</v>
      </c>
      <c r="I35" s="233"/>
      <c r="J35" s="233"/>
      <c r="K35" s="232">
        <f t="shared" si="10"/>
        <v>614</v>
      </c>
      <c r="L35" s="226">
        <f t="shared" si="11"/>
        <v>58.022999999999989</v>
      </c>
      <c r="M35" s="226">
        <f t="shared" si="12"/>
        <v>74.600999999999999</v>
      </c>
      <c r="N35" s="233">
        <v>71</v>
      </c>
      <c r="O35" s="233"/>
      <c r="P35" s="233"/>
      <c r="Q35" s="233"/>
      <c r="R35" s="234">
        <f t="shared" si="7"/>
        <v>58.022999999999989</v>
      </c>
      <c r="S35" s="238">
        <f>1698/10</f>
        <v>169.8</v>
      </c>
      <c r="T35" s="229">
        <f t="shared" si="8"/>
        <v>386.17699999999996</v>
      </c>
      <c r="U35" s="230"/>
      <c r="V35" s="123" t="s">
        <v>223</v>
      </c>
      <c r="W35" s="123" t="s">
        <v>224</v>
      </c>
      <c r="X35" s="231">
        <v>1700027</v>
      </c>
    </row>
    <row r="36" spans="1:24" ht="31.2" customHeight="1" x14ac:dyDescent="0.3">
      <c r="A36" s="220" t="s">
        <v>315</v>
      </c>
      <c r="B36" s="220">
        <v>2023</v>
      </c>
      <c r="C36" s="236" t="s">
        <v>290</v>
      </c>
      <c r="D36" s="223" t="s">
        <v>291</v>
      </c>
      <c r="E36" s="223" t="s">
        <v>292</v>
      </c>
      <c r="F36" s="237">
        <v>708</v>
      </c>
      <c r="G36" s="220">
        <v>30</v>
      </c>
      <c r="H36" s="226">
        <f t="shared" si="9"/>
        <v>708</v>
      </c>
      <c r="I36" s="238"/>
      <c r="J36" s="238"/>
      <c r="K36" s="232">
        <f>ROUND(H36+I36+J36,2)</f>
        <v>708</v>
      </c>
      <c r="L36" s="226">
        <f t="shared" si="11"/>
        <v>66.905999999999992</v>
      </c>
      <c r="M36" s="226">
        <f t="shared" si="12"/>
        <v>86.021999999999991</v>
      </c>
      <c r="N36" s="233">
        <v>71</v>
      </c>
      <c r="O36" s="233"/>
      <c r="P36" s="233"/>
      <c r="Q36" s="233"/>
      <c r="R36" s="234">
        <f t="shared" si="7"/>
        <v>66.905999999999992</v>
      </c>
      <c r="S36" s="253"/>
      <c r="T36" s="229">
        <f t="shared" si="8"/>
        <v>641.09400000000005</v>
      </c>
      <c r="U36" s="230"/>
      <c r="V36" s="123" t="s">
        <v>293</v>
      </c>
      <c r="W36" s="123" t="s">
        <v>209</v>
      </c>
      <c r="X36" s="231">
        <v>1600022</v>
      </c>
    </row>
    <row r="37" spans="1:24" ht="31.2" customHeight="1" x14ac:dyDescent="0.3">
      <c r="A37" s="220" t="s">
        <v>315</v>
      </c>
      <c r="B37" s="222">
        <v>2023</v>
      </c>
      <c r="C37" s="223">
        <v>2100854088</v>
      </c>
      <c r="D37" s="224" t="s">
        <v>312</v>
      </c>
      <c r="E37" s="224" t="s">
        <v>66</v>
      </c>
      <c r="F37" s="221">
        <v>566</v>
      </c>
      <c r="G37" s="222">
        <v>30</v>
      </c>
      <c r="H37" s="226">
        <f t="shared" si="9"/>
        <v>566</v>
      </c>
      <c r="I37" s="238"/>
      <c r="J37" s="238"/>
      <c r="K37" s="232">
        <f>ROUND(H37+I37+J37,2)</f>
        <v>566</v>
      </c>
      <c r="L37" s="226">
        <f>F37*9.45%</f>
        <v>53.486999999999995</v>
      </c>
      <c r="M37" s="226">
        <f t="shared" si="12"/>
        <v>68.768999999999991</v>
      </c>
      <c r="N37" s="233">
        <v>71</v>
      </c>
      <c r="O37" s="233"/>
      <c r="P37" s="265"/>
      <c r="Q37" s="233"/>
      <c r="R37" s="234">
        <f t="shared" si="7"/>
        <v>53.486999999999995</v>
      </c>
      <c r="S37" s="253"/>
      <c r="T37" s="229">
        <f t="shared" si="8"/>
        <v>512.51300000000003</v>
      </c>
      <c r="U37" s="230"/>
      <c r="V37" s="123" t="s">
        <v>313</v>
      </c>
      <c r="W37" s="123" t="s">
        <v>209</v>
      </c>
      <c r="X37" s="231">
        <v>1600022</v>
      </c>
    </row>
    <row r="38" spans="1:24" x14ac:dyDescent="0.3">
      <c r="A38" s="327" t="s">
        <v>185</v>
      </c>
      <c r="B38" s="328"/>
      <c r="C38" s="328"/>
      <c r="D38" s="328"/>
      <c r="E38" s="329"/>
      <c r="F38" s="151">
        <f>SUM(F29:F37)</f>
        <v>5326</v>
      </c>
      <c r="G38" s="151">
        <f t="shared" ref="G38:S38" si="13">SUM(G29:G35)</f>
        <v>210</v>
      </c>
      <c r="H38" s="151">
        <f>SUM(H29:H37)</f>
        <v>5326</v>
      </c>
      <c r="I38" s="151">
        <f t="shared" si="13"/>
        <v>0</v>
      </c>
      <c r="J38" s="151">
        <f t="shared" si="13"/>
        <v>0</v>
      </c>
      <c r="K38" s="151">
        <f>SUM(K29:K37)</f>
        <v>5326</v>
      </c>
      <c r="L38" s="151">
        <f>SUM(L29:L37)</f>
        <v>503.3069999999999</v>
      </c>
      <c r="M38" s="151">
        <f>SUM(M29:M37)</f>
        <v>647.10900000000004</v>
      </c>
      <c r="N38" s="151"/>
      <c r="O38" s="151">
        <f>SUM(O29:O35)</f>
        <v>353.58</v>
      </c>
      <c r="P38" s="151">
        <f t="shared" si="13"/>
        <v>0</v>
      </c>
      <c r="Q38" s="151">
        <f>SUM(Q29:Q35)</f>
        <v>66.38</v>
      </c>
      <c r="R38" s="151">
        <f t="shared" si="13"/>
        <v>802.87400000000002</v>
      </c>
      <c r="S38" s="151">
        <f>SUM(S29:S35)</f>
        <v>1402.1333333333334</v>
      </c>
      <c r="T38" s="156">
        <f>SUM(T29:T37)</f>
        <v>3000.599666666667</v>
      </c>
      <c r="U38" s="79"/>
    </row>
    <row r="40" spans="1:24" x14ac:dyDescent="0.3">
      <c r="L40" s="166">
        <f>L38+L63</f>
        <v>759.6724999999999</v>
      </c>
      <c r="M40" s="166">
        <f>M38+M63</f>
        <v>907.9525000000001</v>
      </c>
    </row>
    <row r="41" spans="1:24" x14ac:dyDescent="0.3">
      <c r="C41">
        <f>225.86*4</f>
        <v>903.44</v>
      </c>
      <c r="E41" s="330" t="s">
        <v>28</v>
      </c>
      <c r="F41" s="330"/>
      <c r="G41" s="330"/>
      <c r="H41" s="84"/>
      <c r="I41" s="85"/>
      <c r="J41" s="85"/>
      <c r="K41" s="86"/>
      <c r="L41" s="330" t="s">
        <v>187</v>
      </c>
      <c r="M41" s="330"/>
      <c r="N41" s="330"/>
      <c r="O41" s="330"/>
      <c r="P41" s="330"/>
      <c r="Q41" s="330"/>
      <c r="U41" s="268"/>
    </row>
    <row r="42" spans="1:24" x14ac:dyDescent="0.3">
      <c r="E42" s="255"/>
      <c r="F42" s="255"/>
      <c r="G42" s="255"/>
      <c r="H42" s="84"/>
      <c r="I42" s="85"/>
      <c r="J42" s="85"/>
      <c r="K42" s="86"/>
      <c r="L42" s="255"/>
      <c r="M42" s="255"/>
      <c r="N42" s="255"/>
      <c r="O42" s="255"/>
      <c r="P42" s="255"/>
      <c r="Q42" s="255"/>
    </row>
    <row r="43" spans="1:24" x14ac:dyDescent="0.3">
      <c r="E43" s="145"/>
      <c r="F43" s="146"/>
      <c r="G43" s="145"/>
      <c r="H43" s="146"/>
      <c r="I43" s="85"/>
      <c r="J43" s="85"/>
      <c r="K43" s="88"/>
      <c r="L43" s="88"/>
      <c r="M43" s="88"/>
      <c r="N43" s="88"/>
      <c r="O43" s="88"/>
      <c r="P43" s="89"/>
      <c r="Q43" s="89"/>
    </row>
    <row r="44" spans="1:24" x14ac:dyDescent="0.3">
      <c r="E44" s="317" t="s">
        <v>188</v>
      </c>
      <c r="F44" s="317"/>
      <c r="G44" s="317"/>
      <c r="H44" s="317"/>
      <c r="I44" s="85"/>
      <c r="J44" s="85"/>
      <c r="K44" s="88"/>
      <c r="L44" s="331" t="s">
        <v>189</v>
      </c>
      <c r="M44" s="331"/>
      <c r="N44" s="331"/>
      <c r="O44" s="331"/>
      <c r="P44" s="331"/>
      <c r="Q44" s="331"/>
    </row>
    <row r="45" spans="1:24" x14ac:dyDescent="0.3">
      <c r="E45" s="316" t="s">
        <v>238</v>
      </c>
      <c r="F45" s="316"/>
      <c r="G45" s="316"/>
      <c r="H45" s="316"/>
      <c r="L45" s="316" t="s">
        <v>237</v>
      </c>
      <c r="M45" s="316"/>
      <c r="N45" s="316"/>
      <c r="O45" s="316"/>
      <c r="P45" s="316"/>
      <c r="Q45" s="316"/>
    </row>
    <row r="52" spans="1:24" ht="15.6" customHeight="1" thickBot="1" x14ac:dyDescent="0.35"/>
    <row r="53" spans="1:24" ht="15.6" customHeight="1" x14ac:dyDescent="0.3">
      <c r="A53" s="294"/>
      <c r="B53" s="295"/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6"/>
    </row>
    <row r="54" spans="1:24" ht="15.6" customHeight="1" x14ac:dyDescent="0.3">
      <c r="A54" s="307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9"/>
    </row>
    <row r="55" spans="1:24" ht="15.6" customHeight="1" x14ac:dyDescent="0.3">
      <c r="A55" s="307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9"/>
    </row>
    <row r="56" spans="1:24" ht="15.6" customHeight="1" x14ac:dyDescent="0.3">
      <c r="A56" s="307"/>
      <c r="B56" s="308"/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8"/>
      <c r="P56" s="308"/>
      <c r="Q56" s="308"/>
      <c r="R56" s="308"/>
      <c r="S56" s="308"/>
      <c r="T56" s="308"/>
      <c r="U56" s="309"/>
    </row>
    <row r="57" spans="1:24" ht="15.6" customHeight="1" thickBot="1" x14ac:dyDescent="0.35">
      <c r="A57" s="307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9"/>
    </row>
    <row r="58" spans="1:24" ht="16.2" customHeight="1" thickBot="1" x14ac:dyDescent="0.35">
      <c r="A58" s="324" t="s">
        <v>316</v>
      </c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6"/>
    </row>
    <row r="59" spans="1:24" ht="38.4" customHeight="1" x14ac:dyDescent="0.3">
      <c r="A59" s="104" t="s">
        <v>143</v>
      </c>
      <c r="B59" s="105" t="s">
        <v>144</v>
      </c>
      <c r="C59" s="105" t="s">
        <v>145</v>
      </c>
      <c r="D59" s="105" t="s">
        <v>146</v>
      </c>
      <c r="E59" s="105" t="s">
        <v>147</v>
      </c>
      <c r="F59" s="105" t="s">
        <v>148</v>
      </c>
      <c r="G59" s="105" t="s">
        <v>151</v>
      </c>
      <c r="H59" s="105" t="s">
        <v>174</v>
      </c>
      <c r="I59" s="105" t="s">
        <v>149</v>
      </c>
      <c r="J59" s="105" t="s">
        <v>150</v>
      </c>
      <c r="K59" s="105" t="s">
        <v>152</v>
      </c>
      <c r="L59" s="105" t="s">
        <v>186</v>
      </c>
      <c r="M59" s="105" t="s">
        <v>154</v>
      </c>
      <c r="N59" s="105" t="s">
        <v>155</v>
      </c>
      <c r="O59" s="105" t="s">
        <v>156</v>
      </c>
      <c r="P59" s="105" t="s">
        <v>157</v>
      </c>
      <c r="Q59" s="105" t="s">
        <v>158</v>
      </c>
      <c r="R59" s="105" t="s">
        <v>159</v>
      </c>
      <c r="S59" s="105" t="s">
        <v>160</v>
      </c>
      <c r="T59" s="105" t="s">
        <v>13</v>
      </c>
      <c r="U59" s="106" t="s">
        <v>161</v>
      </c>
      <c r="V59" s="129" t="s">
        <v>220</v>
      </c>
      <c r="W59" s="130" t="s">
        <v>229</v>
      </c>
      <c r="X59" s="127" t="s">
        <v>219</v>
      </c>
    </row>
    <row r="60" spans="1:24" ht="31.2" customHeight="1" x14ac:dyDescent="0.3">
      <c r="A60" s="71" t="s">
        <v>315</v>
      </c>
      <c r="B60" s="71">
        <v>2023</v>
      </c>
      <c r="C60" s="73">
        <v>2200446587</v>
      </c>
      <c r="D60" s="223" t="s">
        <v>190</v>
      </c>
      <c r="E60" s="73" t="s">
        <v>308</v>
      </c>
      <c r="F60" s="91">
        <v>527</v>
      </c>
      <c r="G60" s="63">
        <v>30</v>
      </c>
      <c r="H60" s="72">
        <f>F60</f>
        <v>527</v>
      </c>
      <c r="I60" s="92">
        <f>H60/12</f>
        <v>43.916666666666664</v>
      </c>
      <c r="J60" s="72">
        <f>450/12</f>
        <v>37.5</v>
      </c>
      <c r="K60" s="119">
        <f>ROUND(H60+I60+J60,2)</f>
        <v>608.41999999999996</v>
      </c>
      <c r="L60" s="92">
        <f>H60*11.45%</f>
        <v>60.341499999999996</v>
      </c>
      <c r="M60" s="92">
        <f>F60*11.65%</f>
        <v>61.395500000000006</v>
      </c>
      <c r="N60" s="63">
        <v>71</v>
      </c>
      <c r="O60" s="63"/>
      <c r="P60" s="63"/>
      <c r="Q60" s="63"/>
      <c r="R60" s="119">
        <f>L60+O60+P60+Q60</f>
        <v>60.341499999999996</v>
      </c>
      <c r="S60" s="63"/>
      <c r="T60" s="140">
        <f>K60-R60-S60</f>
        <v>548.07849999999996</v>
      </c>
      <c r="U60" s="63"/>
      <c r="V60" s="123" t="s">
        <v>230</v>
      </c>
      <c r="W60" s="126" t="s">
        <v>209</v>
      </c>
      <c r="X60">
        <v>1600022</v>
      </c>
    </row>
    <row r="61" spans="1:24" ht="31.2" customHeight="1" x14ac:dyDescent="0.3">
      <c r="A61" s="71" t="s">
        <v>315</v>
      </c>
      <c r="B61" s="71">
        <v>2023</v>
      </c>
      <c r="C61" s="142" t="s">
        <v>235</v>
      </c>
      <c r="D61" s="223" t="s">
        <v>195</v>
      </c>
      <c r="E61" s="73" t="s">
        <v>196</v>
      </c>
      <c r="F61" s="91">
        <v>1212</v>
      </c>
      <c r="G61" s="63">
        <v>30</v>
      </c>
      <c r="H61" s="72">
        <f>F61</f>
        <v>1212</v>
      </c>
      <c r="I61" s="92">
        <f>H61/12</f>
        <v>101</v>
      </c>
      <c r="J61" s="72">
        <f>450/12</f>
        <v>37.5</v>
      </c>
      <c r="K61" s="119">
        <f>ROUND(H61+I61+J61,2)</f>
        <v>1350.5</v>
      </c>
      <c r="L61" s="92">
        <f>H61*11.45%</f>
        <v>138.774</v>
      </c>
      <c r="M61" s="92">
        <f>F61*11.65%</f>
        <v>141.19800000000001</v>
      </c>
      <c r="N61" s="63">
        <v>71</v>
      </c>
      <c r="O61" s="63"/>
      <c r="P61" s="264">
        <v>127.91</v>
      </c>
      <c r="Q61" s="63"/>
      <c r="R61" s="119">
        <f>L61+O61+P61+Q61</f>
        <v>266.68399999999997</v>
      </c>
      <c r="S61" s="63"/>
      <c r="T61" s="140">
        <f>K61-R61-S61</f>
        <v>1083.816</v>
      </c>
      <c r="U61" s="63"/>
      <c r="V61" s="123" t="s">
        <v>214</v>
      </c>
      <c r="W61" s="126" t="s">
        <v>213</v>
      </c>
      <c r="X61">
        <v>2600021</v>
      </c>
    </row>
    <row r="62" spans="1:24" ht="31.2" customHeight="1" x14ac:dyDescent="0.3">
      <c r="A62" s="71" t="s">
        <v>315</v>
      </c>
      <c r="B62" s="71">
        <v>2023</v>
      </c>
      <c r="C62" s="142" t="s">
        <v>295</v>
      </c>
      <c r="D62" s="223" t="s">
        <v>296</v>
      </c>
      <c r="E62" s="73" t="s">
        <v>84</v>
      </c>
      <c r="F62" s="91">
        <v>500</v>
      </c>
      <c r="G62" s="63">
        <v>30</v>
      </c>
      <c r="H62" s="72">
        <f>ROUND(F62/30*G62,2)</f>
        <v>500</v>
      </c>
      <c r="I62" s="122"/>
      <c r="J62" s="122"/>
      <c r="K62" s="119">
        <f>ROUND(H62+I62+J62,2)</f>
        <v>500</v>
      </c>
      <c r="L62" s="92">
        <f>H62*11.45%</f>
        <v>57.249999999999993</v>
      </c>
      <c r="M62" s="92">
        <f>F62*11.65%</f>
        <v>58.25</v>
      </c>
      <c r="N62" s="63">
        <v>71</v>
      </c>
      <c r="O62" s="63"/>
      <c r="P62" s="63"/>
      <c r="Q62" s="63"/>
      <c r="R62" s="119">
        <f>L62+O62+P62+Q62</f>
        <v>57.249999999999993</v>
      </c>
      <c r="S62" s="63"/>
      <c r="T62" s="140">
        <f>K62-R62-S62</f>
        <v>442.75</v>
      </c>
      <c r="U62" s="63"/>
      <c r="V62" s="123" t="s">
        <v>294</v>
      </c>
      <c r="W62" s="126" t="s">
        <v>205</v>
      </c>
      <c r="X62">
        <v>1410036</v>
      </c>
    </row>
    <row r="63" spans="1:24" ht="31.2" customHeight="1" x14ac:dyDescent="0.3">
      <c r="A63" s="332" t="s">
        <v>185</v>
      </c>
      <c r="B63" s="333"/>
      <c r="C63" s="333"/>
      <c r="D63" s="333"/>
      <c r="E63" s="334"/>
      <c r="F63" s="63"/>
      <c r="G63" s="63"/>
      <c r="H63" s="136">
        <f>SUM(H60:H62)</f>
        <v>2239</v>
      </c>
      <c r="I63" s="136">
        <f>SUM(I60:I61)</f>
        <v>144.91666666666666</v>
      </c>
      <c r="J63" s="136">
        <f>SUM(J60:J61)</f>
        <v>75</v>
      </c>
      <c r="K63" s="136">
        <f>SUM(K60:K62)</f>
        <v>2458.92</v>
      </c>
      <c r="L63" s="136">
        <f>SUM(L60:L62)</f>
        <v>256.3655</v>
      </c>
      <c r="M63" s="136">
        <f>SUM(M60:M62)</f>
        <v>260.84350000000001</v>
      </c>
      <c r="N63" s="136">
        <f t="shared" ref="L63:Q63" si="14">SUM(N60:N61)</f>
        <v>142</v>
      </c>
      <c r="O63" s="136">
        <f t="shared" si="14"/>
        <v>0</v>
      </c>
      <c r="P63" s="136">
        <f t="shared" si="14"/>
        <v>127.91</v>
      </c>
      <c r="Q63" s="136">
        <f t="shared" si="14"/>
        <v>0</v>
      </c>
      <c r="R63" s="136">
        <f>SUM(R60:R62)</f>
        <v>384.27549999999997</v>
      </c>
      <c r="S63" s="136">
        <f>SUM(S60:S61)</f>
        <v>0</v>
      </c>
      <c r="T63" s="157">
        <f>SUM(T60:T62)</f>
        <v>2074.6444999999999</v>
      </c>
      <c r="U63" s="137"/>
    </row>
    <row r="64" spans="1:24" x14ac:dyDescent="0.3">
      <c r="E64" s="330" t="s">
        <v>28</v>
      </c>
      <c r="F64" s="330"/>
      <c r="G64" s="330"/>
      <c r="H64" s="84"/>
      <c r="I64" s="85"/>
      <c r="J64" s="85"/>
      <c r="K64" s="86"/>
      <c r="L64" s="330" t="s">
        <v>187</v>
      </c>
      <c r="M64" s="330"/>
      <c r="N64" s="330"/>
      <c r="O64" s="330"/>
      <c r="P64" s="330"/>
      <c r="Q64" s="330"/>
    </row>
    <row r="65" spans="5:20" x14ac:dyDescent="0.3">
      <c r="E65" s="255"/>
      <c r="F65" s="255"/>
      <c r="G65" s="255"/>
      <c r="H65" s="84"/>
      <c r="I65" s="85"/>
      <c r="J65" s="85"/>
      <c r="K65" s="86"/>
      <c r="L65" s="255"/>
      <c r="M65" s="255"/>
      <c r="N65" s="255"/>
      <c r="O65" s="255"/>
      <c r="P65" s="255"/>
      <c r="Q65" s="255"/>
      <c r="T65" s="61">
        <f>T62+T60+T38+T14</f>
        <v>5820.8500714285719</v>
      </c>
    </row>
    <row r="66" spans="5:20" x14ac:dyDescent="0.3">
      <c r="E66" s="145"/>
      <c r="F66" s="146"/>
      <c r="G66" s="145"/>
      <c r="H66" s="146"/>
      <c r="I66" s="85"/>
      <c r="J66" s="85"/>
      <c r="K66" s="88"/>
      <c r="L66" s="88"/>
      <c r="M66" s="88"/>
      <c r="N66" s="88"/>
      <c r="O66" s="88"/>
      <c r="P66" s="89"/>
      <c r="Q66" s="89"/>
    </row>
    <row r="67" spans="5:20" x14ac:dyDescent="0.3">
      <c r="E67" s="317" t="s">
        <v>188</v>
      </c>
      <c r="F67" s="317"/>
      <c r="G67" s="317"/>
      <c r="H67" s="317"/>
      <c r="I67" s="85"/>
      <c r="J67" s="85"/>
      <c r="K67" s="88"/>
      <c r="L67" s="331" t="s">
        <v>189</v>
      </c>
      <c r="M67" s="331"/>
      <c r="N67" s="331"/>
      <c r="O67" s="331"/>
      <c r="P67" s="331"/>
      <c r="Q67" s="331"/>
    </row>
    <row r="68" spans="5:20" x14ac:dyDescent="0.3">
      <c r="E68" s="316" t="s">
        <v>238</v>
      </c>
      <c r="F68" s="316"/>
      <c r="G68" s="316"/>
      <c r="H68" s="316"/>
      <c r="L68" s="316" t="s">
        <v>237</v>
      </c>
      <c r="M68" s="316"/>
      <c r="N68" s="316"/>
      <c r="O68" s="316"/>
      <c r="P68" s="316"/>
      <c r="Q68" s="316"/>
    </row>
  </sheetData>
  <mergeCells count="27">
    <mergeCell ref="E68:H68"/>
    <mergeCell ref="L68:Q68"/>
    <mergeCell ref="E44:H44"/>
    <mergeCell ref="L44:Q44"/>
    <mergeCell ref="E45:H45"/>
    <mergeCell ref="L45:Q45"/>
    <mergeCell ref="A53:U57"/>
    <mergeCell ref="A58:U58"/>
    <mergeCell ref="A63:E63"/>
    <mergeCell ref="E64:G64"/>
    <mergeCell ref="L64:Q64"/>
    <mergeCell ref="E67:H67"/>
    <mergeCell ref="L67:Q67"/>
    <mergeCell ref="E41:G41"/>
    <mergeCell ref="L41:Q41"/>
    <mergeCell ref="A1:U5"/>
    <mergeCell ref="A6:U6"/>
    <mergeCell ref="A14:E14"/>
    <mergeCell ref="E16:G16"/>
    <mergeCell ref="L16:Q16"/>
    <mergeCell ref="E19:H19"/>
    <mergeCell ref="L19:Q19"/>
    <mergeCell ref="E20:H20"/>
    <mergeCell ref="L20:Q20"/>
    <mergeCell ref="A22:U26"/>
    <mergeCell ref="A27:U27"/>
    <mergeCell ref="A38:E38"/>
  </mergeCells>
  <pageMargins left="0.7" right="0.7" top="0.75" bottom="0.75" header="0.3" footer="0.3"/>
  <drawing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5"/>
  <sheetViews>
    <sheetView topLeftCell="A38" workbookViewId="0">
      <selection activeCell="A33" sqref="A33:D62"/>
    </sheetView>
  </sheetViews>
  <sheetFormatPr baseColWidth="10" defaultRowHeight="14.4" x14ac:dyDescent="0.3"/>
  <cols>
    <col min="1" max="1" width="37.33203125" customWidth="1"/>
    <col min="2" max="2" width="27.5546875" customWidth="1"/>
    <col min="3" max="3" width="15.6640625" customWidth="1"/>
    <col min="4" max="4" width="21.6640625" customWidth="1"/>
  </cols>
  <sheetData>
    <row r="1" spans="1:4" ht="25.2" customHeight="1" x14ac:dyDescent="0.3">
      <c r="A1" s="294"/>
      <c r="B1" s="295"/>
      <c r="C1" s="295"/>
      <c r="D1" s="296"/>
    </row>
    <row r="2" spans="1:4" x14ac:dyDescent="0.3">
      <c r="A2" s="307"/>
      <c r="B2" s="308"/>
      <c r="C2" s="308"/>
      <c r="D2" s="309"/>
    </row>
    <row r="3" spans="1:4" ht="33" customHeight="1" thickBot="1" x14ac:dyDescent="0.35">
      <c r="A3" s="307"/>
      <c r="B3" s="308"/>
      <c r="C3" s="308"/>
      <c r="D3" s="309"/>
    </row>
    <row r="4" spans="1:4" ht="25.8" thickBot="1" x14ac:dyDescent="0.35">
      <c r="A4" s="350" t="s">
        <v>0</v>
      </c>
      <c r="B4" s="351"/>
      <c r="C4" s="351"/>
      <c r="D4" s="352"/>
    </row>
    <row r="5" spans="1:4" x14ac:dyDescent="0.3">
      <c r="A5" s="11" t="s">
        <v>1</v>
      </c>
      <c r="B5" s="3" t="str">
        <f>'ROL DE AGOSTO'!D8</f>
        <v>LUZ NARCISA GREFA YUMBO</v>
      </c>
      <c r="C5" s="3"/>
      <c r="D5" s="12"/>
    </row>
    <row r="6" spans="1:4" x14ac:dyDescent="0.3">
      <c r="A6" s="11" t="s">
        <v>2</v>
      </c>
      <c r="B6" s="55">
        <f>'ROL DE AGOSTO'!C8</f>
        <v>1500721202</v>
      </c>
      <c r="C6" s="4"/>
      <c r="D6" s="13"/>
    </row>
    <row r="7" spans="1:4" x14ac:dyDescent="0.3">
      <c r="A7" s="11" t="s">
        <v>3</v>
      </c>
      <c r="B7" s="3" t="str">
        <f>'ROL DE AGOSTO'!E8</f>
        <v>PRESIDENTA</v>
      </c>
      <c r="C7" s="4"/>
      <c r="D7" s="14"/>
    </row>
    <row r="8" spans="1:4" x14ac:dyDescent="0.3">
      <c r="A8" s="11" t="s">
        <v>26</v>
      </c>
      <c r="B8" s="3" t="str">
        <f>'ROL OCT23'!A29</f>
        <v>OCTUBRE</v>
      </c>
      <c r="C8" s="4"/>
      <c r="D8" s="15"/>
    </row>
    <row r="9" spans="1:4" x14ac:dyDescent="0.3">
      <c r="A9" s="11" t="s">
        <v>99</v>
      </c>
      <c r="B9" s="55">
        <f>'ROL DE AGOSTO'!B8</f>
        <v>2023</v>
      </c>
      <c r="C9" s="4"/>
      <c r="D9" s="15"/>
    </row>
    <row r="10" spans="1:4" x14ac:dyDescent="0.3">
      <c r="A10" s="203" t="s">
        <v>94</v>
      </c>
      <c r="B10" s="204"/>
      <c r="C10" s="205" t="s">
        <v>5</v>
      </c>
      <c r="D10" s="206" t="s">
        <v>6</v>
      </c>
    </row>
    <row r="11" spans="1:4" x14ac:dyDescent="0.3">
      <c r="A11" s="18"/>
      <c r="B11" s="6"/>
      <c r="C11" s="7"/>
      <c r="D11" s="19"/>
    </row>
    <row r="12" spans="1:4" ht="13.2" customHeight="1" x14ac:dyDescent="0.3">
      <c r="A12" s="26" t="s">
        <v>16</v>
      </c>
      <c r="B12" s="27"/>
      <c r="C12" s="28">
        <f>'ROL DE AGOSTO'!F8</f>
        <v>1340</v>
      </c>
      <c r="D12" s="29"/>
    </row>
    <row r="13" spans="1:4" ht="13.2" customHeight="1" x14ac:dyDescent="0.3">
      <c r="A13" s="26" t="s">
        <v>105</v>
      </c>
      <c r="B13" s="27"/>
      <c r="C13" s="28"/>
      <c r="D13" s="29"/>
    </row>
    <row r="14" spans="1:4" ht="13.2" customHeight="1" x14ac:dyDescent="0.3">
      <c r="A14" s="26" t="s">
        <v>8</v>
      </c>
      <c r="B14" s="27"/>
      <c r="C14" s="28"/>
      <c r="D14" s="29"/>
    </row>
    <row r="15" spans="1:4" ht="13.2" customHeight="1" x14ac:dyDescent="0.3">
      <c r="A15" s="26" t="s">
        <v>9</v>
      </c>
      <c r="B15" s="27"/>
      <c r="C15" s="28"/>
      <c r="D15" s="29"/>
    </row>
    <row r="16" spans="1:4" ht="13.2" customHeight="1" x14ac:dyDescent="0.3">
      <c r="A16" s="26"/>
      <c r="B16" s="27" t="s">
        <v>10</v>
      </c>
      <c r="C16" s="28"/>
      <c r="D16" s="29">
        <f>'ROL DE AGOSTO'!L8</f>
        <v>153.43</v>
      </c>
    </row>
    <row r="17" spans="1:4" ht="13.2" customHeight="1" x14ac:dyDescent="0.3">
      <c r="A17" s="26"/>
      <c r="B17" s="27" t="s">
        <v>11</v>
      </c>
      <c r="C17" s="28"/>
      <c r="D17" s="29">
        <f>'ROL DE AGOSTO'!O8</f>
        <v>0</v>
      </c>
    </row>
    <row r="18" spans="1:4" ht="13.2" customHeight="1" x14ac:dyDescent="0.3">
      <c r="A18" s="26"/>
      <c r="B18" s="27" t="s">
        <v>55</v>
      </c>
      <c r="C18" s="28"/>
      <c r="D18" s="29">
        <f>'ROL DE AGOSTO'!S8</f>
        <v>382.85714285714283</v>
      </c>
    </row>
    <row r="19" spans="1:4" ht="13.2" customHeight="1" x14ac:dyDescent="0.3">
      <c r="A19" s="26"/>
      <c r="B19" s="27" t="s">
        <v>18</v>
      </c>
      <c r="C19" s="28"/>
      <c r="D19" s="29">
        <f>'ROL DE AGOSTO'!P8</f>
        <v>0</v>
      </c>
    </row>
    <row r="20" spans="1:4" x14ac:dyDescent="0.3">
      <c r="A20" s="207"/>
      <c r="B20" s="208" t="s">
        <v>12</v>
      </c>
      <c r="C20" s="209">
        <f>SUM(C12:C19)</f>
        <v>1340</v>
      </c>
      <c r="D20" s="210">
        <f>SUM(D12:D19)</f>
        <v>536.28714285714284</v>
      </c>
    </row>
    <row r="21" spans="1:4" ht="28.2" x14ac:dyDescent="0.3">
      <c r="A21" s="21"/>
      <c r="B21" s="45"/>
      <c r="C21" s="211" t="s">
        <v>13</v>
      </c>
      <c r="D21" s="212">
        <f>+C20-D20</f>
        <v>803.71285714285716</v>
      </c>
    </row>
    <row r="22" spans="1:4" ht="15" thickBot="1" x14ac:dyDescent="0.35">
      <c r="A22" s="23"/>
      <c r="B22" s="4" t="s">
        <v>14</v>
      </c>
      <c r="C22" s="2"/>
      <c r="D22" s="24"/>
    </row>
    <row r="23" spans="1:4" x14ac:dyDescent="0.3">
      <c r="A23" s="213" t="s">
        <v>28</v>
      </c>
      <c r="B23" s="213" t="s">
        <v>93</v>
      </c>
      <c r="C23" s="348" t="s">
        <v>30</v>
      </c>
      <c r="D23" s="349"/>
    </row>
    <row r="24" spans="1:4" x14ac:dyDescent="0.3">
      <c r="A24" s="37"/>
      <c r="B24" s="34"/>
      <c r="C24" s="32"/>
      <c r="D24" s="25"/>
    </row>
    <row r="25" spans="1:4" x14ac:dyDescent="0.3">
      <c r="A25" s="37"/>
      <c r="B25" s="34"/>
      <c r="C25" s="32"/>
      <c r="D25" s="25"/>
    </row>
    <row r="26" spans="1:4" x14ac:dyDescent="0.3">
      <c r="A26" s="37"/>
      <c r="B26" s="34"/>
      <c r="C26" s="32"/>
      <c r="D26" s="25"/>
    </row>
    <row r="27" spans="1:4" x14ac:dyDescent="0.3">
      <c r="A27" s="37"/>
      <c r="B27" s="34"/>
      <c r="C27" s="32"/>
      <c r="D27" s="25"/>
    </row>
    <row r="28" spans="1:4" x14ac:dyDescent="0.3">
      <c r="A28" s="37"/>
      <c r="B28" s="34"/>
      <c r="C28" s="32"/>
      <c r="D28" s="25"/>
    </row>
    <row r="29" spans="1:4" x14ac:dyDescent="0.3">
      <c r="A29" s="38" t="s">
        <v>298</v>
      </c>
      <c r="B29" s="35" t="s">
        <v>297</v>
      </c>
      <c r="C29" s="290" t="str">
        <f>'ROL INDIVIDUAL'!B5</f>
        <v>LUZ NARCISA GREFA YUMBO</v>
      </c>
      <c r="D29" s="291"/>
    </row>
    <row r="30" spans="1:4" ht="15" thickBot="1" x14ac:dyDescent="0.35">
      <c r="A30" s="36" t="s">
        <v>246</v>
      </c>
      <c r="B30" s="33" t="s">
        <v>299</v>
      </c>
      <c r="C30" s="353">
        <f>B6</f>
        <v>1500721202</v>
      </c>
      <c r="D30" s="354"/>
    </row>
    <row r="31" spans="1:4" x14ac:dyDescent="0.3">
      <c r="A31" s="214"/>
      <c r="B31" s="58"/>
      <c r="C31" s="59"/>
      <c r="D31" s="215"/>
    </row>
    <row r="32" spans="1:4" ht="15" thickBot="1" x14ac:dyDescent="0.35">
      <c r="A32" s="214"/>
      <c r="B32" s="58"/>
      <c r="C32" s="59"/>
      <c r="D32" s="215"/>
    </row>
    <row r="33" spans="1:4" x14ac:dyDescent="0.3">
      <c r="A33" s="294"/>
      <c r="B33" s="295"/>
      <c r="C33" s="295"/>
      <c r="D33" s="296"/>
    </row>
    <row r="34" spans="1:4" x14ac:dyDescent="0.3">
      <c r="A34" s="307"/>
      <c r="B34" s="308"/>
      <c r="C34" s="308"/>
      <c r="D34" s="309"/>
    </row>
    <row r="35" spans="1:4" ht="45" customHeight="1" thickBot="1" x14ac:dyDescent="0.35">
      <c r="A35" s="307"/>
      <c r="B35" s="308"/>
      <c r="C35" s="308"/>
      <c r="D35" s="309"/>
    </row>
    <row r="36" spans="1:4" ht="25.8" thickBot="1" x14ac:dyDescent="0.35">
      <c r="A36" s="350" t="s">
        <v>0</v>
      </c>
      <c r="B36" s="351"/>
      <c r="C36" s="351"/>
      <c r="D36" s="352"/>
    </row>
    <row r="37" spans="1:4" x14ac:dyDescent="0.3">
      <c r="A37" s="11" t="s">
        <v>1</v>
      </c>
      <c r="B37" s="3" t="str">
        <f>'ROL DE AGOSTO'!D9</f>
        <v>DEISY EDITH GREFA VARGAS</v>
      </c>
      <c r="C37" s="3"/>
      <c r="D37" s="12"/>
    </row>
    <row r="38" spans="1:4" x14ac:dyDescent="0.3">
      <c r="A38" s="11" t="s">
        <v>2</v>
      </c>
      <c r="B38" s="10" t="str">
        <f>'ROL DE AGOSTO'!C9</f>
        <v>2200496376</v>
      </c>
      <c r="C38" s="4"/>
      <c r="D38" s="13"/>
    </row>
    <row r="39" spans="1:4" x14ac:dyDescent="0.3">
      <c r="A39" s="11" t="s">
        <v>3</v>
      </c>
      <c r="B39" s="3" t="str">
        <f>'ROL DE AGOSTO'!E9</f>
        <v>VICEPRESIDENTA</v>
      </c>
      <c r="C39" s="4"/>
      <c r="D39" s="14"/>
    </row>
    <row r="40" spans="1:4" x14ac:dyDescent="0.3">
      <c r="A40" s="11" t="s">
        <v>26</v>
      </c>
      <c r="B40" s="3" t="s">
        <v>332</v>
      </c>
      <c r="C40" s="4"/>
      <c r="D40" s="15"/>
    </row>
    <row r="41" spans="1:4" x14ac:dyDescent="0.3">
      <c r="A41" s="11" t="s">
        <v>99</v>
      </c>
      <c r="B41" s="55">
        <f>'ROL DE AGOSTO'!B8</f>
        <v>2023</v>
      </c>
      <c r="C41" s="4"/>
      <c r="D41" s="15"/>
    </row>
    <row r="42" spans="1:4" x14ac:dyDescent="0.3">
      <c r="A42" s="203" t="s">
        <v>94</v>
      </c>
      <c r="B42" s="204"/>
      <c r="C42" s="205" t="s">
        <v>5</v>
      </c>
      <c r="D42" s="206" t="s">
        <v>6</v>
      </c>
    </row>
    <row r="43" spans="1:4" x14ac:dyDescent="0.3">
      <c r="A43" s="18"/>
      <c r="B43" s="6"/>
      <c r="C43" s="7"/>
      <c r="D43" s="19"/>
    </row>
    <row r="44" spans="1:4" x14ac:dyDescent="0.3">
      <c r="A44" s="26" t="s">
        <v>16</v>
      </c>
      <c r="B44" s="27"/>
      <c r="C44" s="28">
        <f>'ROL NOVIEMBR'!F9</f>
        <v>536</v>
      </c>
      <c r="D44" s="29"/>
    </row>
    <row r="45" spans="1:4" ht="17.399999999999999" customHeight="1" x14ac:dyDescent="0.3">
      <c r="A45" s="26" t="s">
        <v>105</v>
      </c>
      <c r="B45" s="27"/>
      <c r="C45" s="28"/>
      <c r="D45" s="29"/>
    </row>
    <row r="46" spans="1:4" x14ac:dyDescent="0.3">
      <c r="A46" s="26" t="s">
        <v>8</v>
      </c>
      <c r="B46" s="27"/>
      <c r="C46" s="28"/>
      <c r="D46" s="29"/>
    </row>
    <row r="47" spans="1:4" x14ac:dyDescent="0.3">
      <c r="A47" s="26" t="s">
        <v>9</v>
      </c>
      <c r="B47" s="27"/>
      <c r="C47" s="28"/>
      <c r="D47" s="29"/>
    </row>
    <row r="48" spans="1:4" ht="24" x14ac:dyDescent="0.3">
      <c r="A48" s="26"/>
      <c r="B48" s="27" t="s">
        <v>10</v>
      </c>
      <c r="C48" s="28"/>
      <c r="D48" s="29">
        <f>C44*11.45%</f>
        <v>61.371999999999993</v>
      </c>
    </row>
    <row r="49" spans="1:4" ht="24" x14ac:dyDescent="0.3">
      <c r="A49" s="26"/>
      <c r="B49" s="27" t="s">
        <v>11</v>
      </c>
      <c r="C49" s="28"/>
      <c r="D49" s="29">
        <f>'ROL NOVIEMBR'!O9</f>
        <v>187</v>
      </c>
    </row>
    <row r="50" spans="1:4" x14ac:dyDescent="0.3">
      <c r="A50" s="26"/>
      <c r="B50" s="27" t="s">
        <v>55</v>
      </c>
      <c r="C50" s="28"/>
      <c r="D50" s="29">
        <f>'ROL NOVIEMBR'!S9</f>
        <v>178.66666666666666</v>
      </c>
    </row>
    <row r="51" spans="1:4" ht="24" x14ac:dyDescent="0.3">
      <c r="A51" s="26"/>
      <c r="B51" s="27" t="s">
        <v>18</v>
      </c>
      <c r="C51" s="28"/>
      <c r="D51" s="29"/>
    </row>
    <row r="52" spans="1:4" x14ac:dyDescent="0.3">
      <c r="A52" s="207"/>
      <c r="B52" s="208" t="s">
        <v>12</v>
      </c>
      <c r="C52" s="209">
        <f>SUM(C44:C51)</f>
        <v>536</v>
      </c>
      <c r="D52" s="210">
        <f>SUM(D44:D51)</f>
        <v>427.03866666666664</v>
      </c>
    </row>
    <row r="53" spans="1:4" ht="28.2" x14ac:dyDescent="0.3">
      <c r="A53" s="21"/>
      <c r="B53" s="45"/>
      <c r="C53" s="211" t="s">
        <v>13</v>
      </c>
      <c r="D53" s="212">
        <f>+C52-D52</f>
        <v>108.96133333333336</v>
      </c>
    </row>
    <row r="54" spans="1:4" ht="15" thickBot="1" x14ac:dyDescent="0.35">
      <c r="A54" s="23"/>
      <c r="B54" s="4" t="s">
        <v>14</v>
      </c>
      <c r="C54" s="2"/>
      <c r="D54" s="24"/>
    </row>
    <row r="55" spans="1:4" x14ac:dyDescent="0.3">
      <c r="A55" s="213" t="s">
        <v>28</v>
      </c>
      <c r="B55" s="213" t="s">
        <v>93</v>
      </c>
      <c r="C55" s="348" t="s">
        <v>30</v>
      </c>
      <c r="D55" s="349"/>
    </row>
    <row r="56" spans="1:4" x14ac:dyDescent="0.3">
      <c r="A56" s="37"/>
      <c r="B56" s="34"/>
      <c r="C56" s="32"/>
      <c r="D56" s="25"/>
    </row>
    <row r="57" spans="1:4" x14ac:dyDescent="0.3">
      <c r="A57" s="37"/>
      <c r="B57" s="34"/>
      <c r="C57" s="32"/>
      <c r="D57" s="25"/>
    </row>
    <row r="58" spans="1:4" x14ac:dyDescent="0.3">
      <c r="A58" s="37"/>
      <c r="B58" s="34"/>
      <c r="C58" s="32"/>
      <c r="D58" s="25"/>
    </row>
    <row r="59" spans="1:4" x14ac:dyDescent="0.3">
      <c r="A59" s="37"/>
      <c r="B59" s="34"/>
      <c r="C59" s="32"/>
      <c r="D59" s="25"/>
    </row>
    <row r="60" spans="1:4" x14ac:dyDescent="0.3">
      <c r="A60" s="37"/>
      <c r="B60" s="34"/>
      <c r="C60" s="32"/>
      <c r="D60" s="25"/>
    </row>
    <row r="61" spans="1:4" x14ac:dyDescent="0.3">
      <c r="A61" s="38" t="s">
        <v>298</v>
      </c>
      <c r="B61" s="35" t="s">
        <v>297</v>
      </c>
      <c r="C61" s="290" t="str">
        <f>B37</f>
        <v>DEISY EDITH GREFA VARGAS</v>
      </c>
      <c r="D61" s="291"/>
    </row>
    <row r="62" spans="1:4" ht="15" thickBot="1" x14ac:dyDescent="0.35">
      <c r="A62" s="36" t="s">
        <v>246</v>
      </c>
      <c r="B62" s="33" t="s">
        <v>299</v>
      </c>
      <c r="C62" s="353" t="str">
        <f>B38</f>
        <v>2200496376</v>
      </c>
      <c r="D62" s="354"/>
    </row>
    <row r="68" spans="1:4" ht="15" thickBot="1" x14ac:dyDescent="0.35"/>
    <row r="69" spans="1:4" x14ac:dyDescent="0.3">
      <c r="A69" s="294"/>
      <c r="B69" s="295"/>
      <c r="C69" s="295"/>
      <c r="D69" s="296"/>
    </row>
    <row r="70" spans="1:4" x14ac:dyDescent="0.3">
      <c r="A70" s="307"/>
      <c r="B70" s="308"/>
      <c r="C70" s="308"/>
      <c r="D70" s="309"/>
    </row>
    <row r="71" spans="1:4" ht="49.8" customHeight="1" thickBot="1" x14ac:dyDescent="0.35">
      <c r="A71" s="307"/>
      <c r="B71" s="308"/>
      <c r="C71" s="308"/>
      <c r="D71" s="309"/>
    </row>
    <row r="72" spans="1:4" ht="25.8" thickBot="1" x14ac:dyDescent="0.35">
      <c r="A72" s="350" t="s">
        <v>0</v>
      </c>
      <c r="B72" s="351"/>
      <c r="C72" s="351"/>
      <c r="D72" s="352"/>
    </row>
    <row r="73" spans="1:4" x14ac:dyDescent="0.3">
      <c r="A73" s="11" t="s">
        <v>1</v>
      </c>
      <c r="B73" s="3" t="str">
        <f>'ROL DE AGOSTO'!D10</f>
        <v>PEDRO PABLO MONTERO ALTAMIR</v>
      </c>
      <c r="C73" s="3"/>
      <c r="D73" s="12"/>
    </row>
    <row r="74" spans="1:4" x14ac:dyDescent="0.3">
      <c r="A74" s="11" t="s">
        <v>2</v>
      </c>
      <c r="B74" s="10" t="str">
        <f>'ROL DE AGOSTO'!C10</f>
        <v>1500518517</v>
      </c>
      <c r="C74" s="4"/>
      <c r="D74" s="13"/>
    </row>
    <row r="75" spans="1:4" x14ac:dyDescent="0.3">
      <c r="A75" s="11" t="s">
        <v>3</v>
      </c>
      <c r="B75" s="3" t="str">
        <f>'ROL DE AGOSTO'!E10</f>
        <v>1 VOCAL</v>
      </c>
      <c r="C75" s="4"/>
      <c r="D75" s="14"/>
    </row>
    <row r="76" spans="1:4" x14ac:dyDescent="0.3">
      <c r="A76" s="11" t="s">
        <v>26</v>
      </c>
      <c r="B76" s="3" t="str">
        <f>'ROL DE AGOSTO'!A10</f>
        <v>AGOSTO</v>
      </c>
      <c r="C76" s="4"/>
      <c r="D76" s="15"/>
    </row>
    <row r="77" spans="1:4" x14ac:dyDescent="0.3">
      <c r="A77" s="11" t="s">
        <v>99</v>
      </c>
      <c r="B77" s="55">
        <f>'ROL DE AGOSTO'!B10</f>
        <v>2023</v>
      </c>
      <c r="C77" s="4"/>
      <c r="D77" s="15"/>
    </row>
    <row r="78" spans="1:4" x14ac:dyDescent="0.3">
      <c r="A78" s="203" t="s">
        <v>94</v>
      </c>
      <c r="B78" s="204"/>
      <c r="C78" s="205" t="s">
        <v>5</v>
      </c>
      <c r="D78" s="206" t="s">
        <v>6</v>
      </c>
    </row>
    <row r="79" spans="1:4" x14ac:dyDescent="0.3">
      <c r="A79" s="18"/>
      <c r="B79" s="6"/>
      <c r="C79" s="7"/>
      <c r="D79" s="19"/>
    </row>
    <row r="80" spans="1:4" x14ac:dyDescent="0.3">
      <c r="A80" s="26" t="s">
        <v>16</v>
      </c>
      <c r="B80" s="27"/>
      <c r="C80" s="28">
        <f>'ROL DE AGOSTO'!F10</f>
        <v>536</v>
      </c>
      <c r="D80" s="29"/>
    </row>
    <row r="81" spans="1:4" x14ac:dyDescent="0.3">
      <c r="A81" s="26" t="s">
        <v>105</v>
      </c>
      <c r="B81" s="27"/>
      <c r="C81" s="28"/>
      <c r="D81" s="29"/>
    </row>
    <row r="82" spans="1:4" x14ac:dyDescent="0.3">
      <c r="A82" s="26" t="s">
        <v>8</v>
      </c>
      <c r="B82" s="27"/>
      <c r="C82" s="28"/>
      <c r="D82" s="29"/>
    </row>
    <row r="83" spans="1:4" x14ac:dyDescent="0.3">
      <c r="A83" s="26" t="s">
        <v>9</v>
      </c>
      <c r="B83" s="27"/>
      <c r="C83" s="28"/>
      <c r="D83" s="29"/>
    </row>
    <row r="84" spans="1:4" ht="24" x14ac:dyDescent="0.3">
      <c r="A84" s="26"/>
      <c r="B84" s="27" t="s">
        <v>10</v>
      </c>
      <c r="C84" s="28"/>
      <c r="D84" s="29">
        <f>'ROL DE AGOSTO'!L10</f>
        <v>61.37</v>
      </c>
    </row>
    <row r="85" spans="1:4" ht="24" x14ac:dyDescent="0.3">
      <c r="A85" s="26"/>
      <c r="B85" s="27" t="s">
        <v>11</v>
      </c>
      <c r="C85" s="28"/>
      <c r="D85" s="29">
        <f>'ROL DE AGOSTO'!O76</f>
        <v>0</v>
      </c>
    </row>
    <row r="86" spans="1:4" x14ac:dyDescent="0.3">
      <c r="A86" s="26"/>
      <c r="B86" s="27" t="s">
        <v>55</v>
      </c>
      <c r="C86" s="28"/>
      <c r="D86" s="29">
        <f>'ROL DE AGOSTO'!S10</f>
        <v>268</v>
      </c>
    </row>
    <row r="87" spans="1:4" ht="24" x14ac:dyDescent="0.3">
      <c r="A87" s="26"/>
      <c r="B87" s="27" t="s">
        <v>18</v>
      </c>
      <c r="C87" s="28"/>
      <c r="D87" s="29">
        <f>'ROL DE AGOSTO'!P10</f>
        <v>78.349999999999994</v>
      </c>
    </row>
    <row r="88" spans="1:4" x14ac:dyDescent="0.3">
      <c r="A88" s="207"/>
      <c r="B88" s="208" t="s">
        <v>12</v>
      </c>
      <c r="C88" s="209">
        <f>SUM(C80:C87)</f>
        <v>536</v>
      </c>
      <c r="D88" s="210">
        <f>SUM(D80:D87)</f>
        <v>407.72</v>
      </c>
    </row>
    <row r="89" spans="1:4" ht="28.2" x14ac:dyDescent="0.3">
      <c r="A89" s="21"/>
      <c r="B89" s="45"/>
      <c r="C89" s="211" t="s">
        <v>13</v>
      </c>
      <c r="D89" s="212">
        <f>+C88-D88</f>
        <v>128.27999999999997</v>
      </c>
    </row>
    <row r="90" spans="1:4" ht="15" thickBot="1" x14ac:dyDescent="0.35">
      <c r="A90" s="23"/>
      <c r="B90" s="4" t="s">
        <v>14</v>
      </c>
      <c r="C90" s="2"/>
      <c r="D90" s="24"/>
    </row>
    <row r="91" spans="1:4" x14ac:dyDescent="0.3">
      <c r="A91" s="213" t="s">
        <v>28</v>
      </c>
      <c r="B91" s="213" t="s">
        <v>93</v>
      </c>
      <c r="C91" s="348" t="s">
        <v>30</v>
      </c>
      <c r="D91" s="349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8" t="s">
        <v>298</v>
      </c>
      <c r="B97" s="35" t="s">
        <v>297</v>
      </c>
      <c r="C97" s="290" t="str">
        <f>'ROL INDIVIDUAL'!B73</f>
        <v>PEDRO PABLO MONTERO ALTAMIR</v>
      </c>
      <c r="D97" s="291"/>
    </row>
    <row r="98" spans="1:4" ht="15" thickBot="1" x14ac:dyDescent="0.35">
      <c r="A98" s="36" t="s">
        <v>246</v>
      </c>
      <c r="B98" s="33" t="s">
        <v>299</v>
      </c>
      <c r="C98" s="353" t="str">
        <f>B74</f>
        <v>1500518517</v>
      </c>
      <c r="D98" s="354"/>
    </row>
    <row r="99" spans="1:4" x14ac:dyDescent="0.3">
      <c r="A99" s="214"/>
      <c r="B99" s="58"/>
      <c r="C99" s="59"/>
      <c r="D99" s="215"/>
    </row>
    <row r="100" spans="1:4" ht="15" thickBot="1" x14ac:dyDescent="0.35">
      <c r="A100" s="214"/>
      <c r="B100" s="58"/>
      <c r="C100" s="59"/>
      <c r="D100" s="215"/>
    </row>
    <row r="101" spans="1:4" x14ac:dyDescent="0.3">
      <c r="A101" s="294"/>
      <c r="B101" s="295"/>
      <c r="C101" s="295"/>
      <c r="D101" s="296"/>
    </row>
    <row r="102" spans="1:4" x14ac:dyDescent="0.3">
      <c r="A102" s="307"/>
      <c r="B102" s="308"/>
      <c r="C102" s="308"/>
      <c r="D102" s="309"/>
    </row>
    <row r="103" spans="1:4" ht="46.8" customHeight="1" thickBot="1" x14ac:dyDescent="0.35">
      <c r="A103" s="307"/>
      <c r="B103" s="308"/>
      <c r="C103" s="308"/>
      <c r="D103" s="309"/>
    </row>
    <row r="104" spans="1:4" ht="25.8" thickBot="1" x14ac:dyDescent="0.35">
      <c r="A104" s="350" t="s">
        <v>0</v>
      </c>
      <c r="B104" s="351"/>
      <c r="C104" s="351"/>
      <c r="D104" s="352"/>
    </row>
    <row r="105" spans="1:4" x14ac:dyDescent="0.3">
      <c r="A105" s="11" t="s">
        <v>1</v>
      </c>
      <c r="B105" s="3" t="str">
        <f>'ROL DE AGOSTO'!D11</f>
        <v>FLAVIO FEDERICO GREFA SHIGUANGO</v>
      </c>
      <c r="C105" s="3"/>
      <c r="D105" s="12"/>
    </row>
    <row r="106" spans="1:4" x14ac:dyDescent="0.3">
      <c r="A106" s="11" t="s">
        <v>2</v>
      </c>
      <c r="B106" s="10" t="s">
        <v>303</v>
      </c>
      <c r="C106" s="4"/>
      <c r="D106" s="13"/>
    </row>
    <row r="107" spans="1:4" x14ac:dyDescent="0.3">
      <c r="A107" s="11" t="s">
        <v>3</v>
      </c>
      <c r="B107" s="3" t="str">
        <f>'ROL DE AGOSTO'!E11</f>
        <v>2 VOCAL</v>
      </c>
      <c r="C107" s="4"/>
      <c r="D107" s="14"/>
    </row>
    <row r="108" spans="1:4" x14ac:dyDescent="0.3">
      <c r="A108" s="11" t="s">
        <v>26</v>
      </c>
      <c r="B108" s="3" t="str">
        <f>'ROL DE AGOSTO'!A11</f>
        <v>AGOSTO</v>
      </c>
      <c r="C108" s="4"/>
      <c r="D108" s="15"/>
    </row>
    <row r="109" spans="1:4" x14ac:dyDescent="0.3">
      <c r="A109" s="11" t="s">
        <v>99</v>
      </c>
      <c r="B109" s="55">
        <f>'ROL DE AGOSTO'!B11</f>
        <v>2023</v>
      </c>
      <c r="C109" s="4"/>
      <c r="D109" s="15"/>
    </row>
    <row r="110" spans="1:4" x14ac:dyDescent="0.3">
      <c r="A110" s="203" t="s">
        <v>94</v>
      </c>
      <c r="B110" s="204"/>
      <c r="C110" s="205" t="s">
        <v>5</v>
      </c>
      <c r="D110" s="206" t="s">
        <v>6</v>
      </c>
    </row>
    <row r="111" spans="1:4" x14ac:dyDescent="0.3">
      <c r="A111" s="18"/>
      <c r="B111" s="6"/>
      <c r="C111" s="7"/>
      <c r="D111" s="19"/>
    </row>
    <row r="112" spans="1:4" x14ac:dyDescent="0.3">
      <c r="A112" s="26" t="s">
        <v>16</v>
      </c>
      <c r="B112" s="27"/>
      <c r="C112" s="28">
        <f>'ROL DE AGOSTO'!K12</f>
        <v>536</v>
      </c>
      <c r="D112" s="29"/>
    </row>
    <row r="113" spans="1:4" x14ac:dyDescent="0.3">
      <c r="A113" s="26" t="s">
        <v>105</v>
      </c>
      <c r="B113" s="27"/>
      <c r="C113" s="28"/>
      <c r="D113" s="29"/>
    </row>
    <row r="114" spans="1:4" x14ac:dyDescent="0.3">
      <c r="A114" s="26" t="s">
        <v>8</v>
      </c>
      <c r="B114" s="27"/>
      <c r="C114" s="28"/>
      <c r="D114" s="29"/>
    </row>
    <row r="115" spans="1:4" x14ac:dyDescent="0.3">
      <c r="A115" s="26" t="s">
        <v>9</v>
      </c>
      <c r="B115" s="27"/>
      <c r="C115" s="28"/>
      <c r="D115" s="29"/>
    </row>
    <row r="116" spans="1:4" ht="24" x14ac:dyDescent="0.3">
      <c r="A116" s="26"/>
      <c r="B116" s="27" t="s">
        <v>10</v>
      </c>
      <c r="C116" s="28"/>
      <c r="D116" s="29">
        <f>'ROL DE AGOSTO'!L11</f>
        <v>61.37</v>
      </c>
    </row>
    <row r="117" spans="1:4" ht="24" x14ac:dyDescent="0.3">
      <c r="A117" s="26"/>
      <c r="B117" s="27" t="s">
        <v>11</v>
      </c>
      <c r="C117" s="28"/>
      <c r="D117" s="29"/>
    </row>
    <row r="118" spans="1:4" x14ac:dyDescent="0.3">
      <c r="A118" s="26"/>
      <c r="B118" s="27" t="s">
        <v>55</v>
      </c>
      <c r="C118" s="28"/>
      <c r="D118" s="29">
        <f>'ROL DE AGOSTO'!S11</f>
        <v>268</v>
      </c>
    </row>
    <row r="119" spans="1:4" ht="24" x14ac:dyDescent="0.3">
      <c r="A119" s="26"/>
      <c r="B119" s="27" t="s">
        <v>18</v>
      </c>
      <c r="C119" s="28"/>
      <c r="D119" s="29">
        <f>'ROL DE AGOSTO'!P11</f>
        <v>85</v>
      </c>
    </row>
    <row r="120" spans="1:4" x14ac:dyDescent="0.3">
      <c r="A120" s="207"/>
      <c r="B120" s="208" t="s">
        <v>12</v>
      </c>
      <c r="C120" s="209">
        <f>SUM(C112:C119)</f>
        <v>536</v>
      </c>
      <c r="D120" s="210">
        <f>SUM(D112:D119)</f>
        <v>414.37</v>
      </c>
    </row>
    <row r="121" spans="1:4" ht="28.2" x14ac:dyDescent="0.3">
      <c r="A121" s="21"/>
      <c r="B121" s="45"/>
      <c r="C121" s="211" t="s">
        <v>13</v>
      </c>
      <c r="D121" s="212">
        <f>+C120-D120</f>
        <v>121.63</v>
      </c>
    </row>
    <row r="122" spans="1:4" ht="15" thickBot="1" x14ac:dyDescent="0.35">
      <c r="A122" s="23"/>
      <c r="B122" s="4" t="s">
        <v>14</v>
      </c>
      <c r="C122" s="2"/>
      <c r="D122" s="24"/>
    </row>
    <row r="123" spans="1:4" x14ac:dyDescent="0.3">
      <c r="A123" s="213" t="s">
        <v>28</v>
      </c>
      <c r="B123" s="213" t="s">
        <v>93</v>
      </c>
      <c r="C123" s="348" t="s">
        <v>30</v>
      </c>
      <c r="D123" s="349"/>
    </row>
    <row r="124" spans="1:4" x14ac:dyDescent="0.3">
      <c r="A124" s="37"/>
      <c r="B124" s="34"/>
      <c r="C124" s="32"/>
      <c r="D124" s="25"/>
    </row>
    <row r="125" spans="1:4" x14ac:dyDescent="0.3">
      <c r="A125" s="37"/>
      <c r="B125" s="34"/>
      <c r="C125" s="32"/>
      <c r="D125" s="25"/>
    </row>
    <row r="126" spans="1:4" x14ac:dyDescent="0.3">
      <c r="A126" s="37"/>
      <c r="B126" s="34"/>
      <c r="C126" s="32"/>
      <c r="D126" s="25"/>
    </row>
    <row r="127" spans="1:4" x14ac:dyDescent="0.3">
      <c r="A127" s="37"/>
      <c r="B127" s="34"/>
      <c r="C127" s="32"/>
      <c r="D127" s="25"/>
    </row>
    <row r="128" spans="1:4" x14ac:dyDescent="0.3">
      <c r="A128" s="37"/>
      <c r="B128" s="34"/>
      <c r="C128" s="32"/>
      <c r="D128" s="25"/>
    </row>
    <row r="129" spans="1:4" x14ac:dyDescent="0.3">
      <c r="A129" s="38" t="s">
        <v>298</v>
      </c>
      <c r="B129" s="35" t="s">
        <v>297</v>
      </c>
      <c r="C129" s="290" t="str">
        <f>B105</f>
        <v>FLAVIO FEDERICO GREFA SHIGUANGO</v>
      </c>
      <c r="D129" s="291"/>
    </row>
    <row r="130" spans="1:4" ht="15" customHeight="1" thickBot="1" x14ac:dyDescent="0.35">
      <c r="A130" s="36" t="s">
        <v>246</v>
      </c>
      <c r="B130" s="33" t="s">
        <v>299</v>
      </c>
      <c r="C130" s="353" t="str">
        <f>B106</f>
        <v>1500367295</v>
      </c>
      <c r="D130" s="354"/>
    </row>
    <row r="133" spans="1:4" ht="15" thickBot="1" x14ac:dyDescent="0.35"/>
    <row r="134" spans="1:4" x14ac:dyDescent="0.3">
      <c r="A134" s="294"/>
      <c r="B134" s="295"/>
      <c r="C134" s="295"/>
      <c r="D134" s="296"/>
    </row>
    <row r="135" spans="1:4" x14ac:dyDescent="0.3">
      <c r="A135" s="307"/>
      <c r="B135" s="308"/>
      <c r="C135" s="308"/>
      <c r="D135" s="309"/>
    </row>
    <row r="136" spans="1:4" ht="15" thickBot="1" x14ac:dyDescent="0.35">
      <c r="A136" s="307"/>
      <c r="B136" s="308"/>
      <c r="C136" s="308"/>
      <c r="D136" s="309"/>
    </row>
    <row r="137" spans="1:4" ht="25.8" thickBot="1" x14ac:dyDescent="0.35">
      <c r="A137" s="350" t="s">
        <v>0</v>
      </c>
      <c r="B137" s="351"/>
      <c r="C137" s="351"/>
      <c r="D137" s="352"/>
    </row>
    <row r="138" spans="1:4" x14ac:dyDescent="0.3">
      <c r="A138" s="11" t="s">
        <v>1</v>
      </c>
      <c r="B138" s="3" t="str">
        <f>'ROL DE AGOSTO'!D12</f>
        <v>JEANET VIVIANA VASQUEZ YUMBO</v>
      </c>
      <c r="C138" s="3"/>
      <c r="D138" s="12"/>
    </row>
    <row r="139" spans="1:4" x14ac:dyDescent="0.3">
      <c r="A139" s="11" t="s">
        <v>2</v>
      </c>
      <c r="B139" s="55">
        <f>'ROL DE AGOSTO'!C12</f>
        <v>1500814940</v>
      </c>
      <c r="C139" s="4"/>
      <c r="D139" s="13"/>
    </row>
    <row r="140" spans="1:4" x14ac:dyDescent="0.3">
      <c r="A140" s="11" t="s">
        <v>3</v>
      </c>
      <c r="B140" s="3" t="str">
        <f>'ROL DE AGOSTO'!E12</f>
        <v>3 VOCAL</v>
      </c>
      <c r="C140" s="4"/>
      <c r="D140" s="14"/>
    </row>
    <row r="141" spans="1:4" x14ac:dyDescent="0.3">
      <c r="A141" s="11" t="s">
        <v>26</v>
      </c>
      <c r="B141" s="3" t="str">
        <f>'ROL DE AGOSTO'!A12</f>
        <v>AGOSTO</v>
      </c>
      <c r="C141" s="4"/>
      <c r="D141" s="15"/>
    </row>
    <row r="142" spans="1:4" x14ac:dyDescent="0.3">
      <c r="A142" s="11" t="s">
        <v>99</v>
      </c>
      <c r="B142" s="55">
        <f>'ROL DE AGOSTO'!B12</f>
        <v>2023</v>
      </c>
      <c r="C142" s="4"/>
      <c r="D142" s="15"/>
    </row>
    <row r="143" spans="1:4" x14ac:dyDescent="0.3">
      <c r="A143" s="203" t="s">
        <v>94</v>
      </c>
      <c r="B143" s="204"/>
      <c r="C143" s="205" t="s">
        <v>5</v>
      </c>
      <c r="D143" s="206" t="s">
        <v>6</v>
      </c>
    </row>
    <row r="144" spans="1:4" x14ac:dyDescent="0.3">
      <c r="A144" s="18"/>
      <c r="B144" s="6"/>
      <c r="C144" s="7"/>
      <c r="D144" s="19"/>
    </row>
    <row r="145" spans="1:4" x14ac:dyDescent="0.3">
      <c r="A145" s="26" t="s">
        <v>16</v>
      </c>
      <c r="B145" s="27"/>
      <c r="C145" s="28">
        <f>'ROL DE AGOSTO'!F12</f>
        <v>536</v>
      </c>
      <c r="D145" s="29"/>
    </row>
    <row r="146" spans="1:4" x14ac:dyDescent="0.3">
      <c r="A146" s="26" t="s">
        <v>105</v>
      </c>
      <c r="B146" s="27"/>
      <c r="C146" s="28"/>
      <c r="D146" s="29"/>
    </row>
    <row r="147" spans="1:4" x14ac:dyDescent="0.3">
      <c r="A147" s="26" t="s">
        <v>8</v>
      </c>
      <c r="B147" s="27"/>
      <c r="C147" s="28"/>
      <c r="D147" s="29"/>
    </row>
    <row r="148" spans="1:4" x14ac:dyDescent="0.3">
      <c r="A148" s="26" t="s">
        <v>9</v>
      </c>
      <c r="B148" s="27"/>
      <c r="C148" s="28"/>
      <c r="D148" s="29"/>
    </row>
    <row r="149" spans="1:4" ht="24" x14ac:dyDescent="0.3">
      <c r="A149" s="26"/>
      <c r="B149" s="27" t="s">
        <v>10</v>
      </c>
      <c r="C149" s="28"/>
      <c r="D149" s="29">
        <f>'ROL DE AGOSTO'!L12</f>
        <v>61.37</v>
      </c>
    </row>
    <row r="150" spans="1:4" ht="24" x14ac:dyDescent="0.3">
      <c r="A150" s="26"/>
      <c r="B150" s="27" t="s">
        <v>11</v>
      </c>
      <c r="C150" s="28"/>
      <c r="D150" s="29">
        <f>'ROL DE AGOSTO'!O141</f>
        <v>0</v>
      </c>
    </row>
    <row r="151" spans="1:4" x14ac:dyDescent="0.3">
      <c r="A151" s="26"/>
      <c r="B151" s="27" t="s">
        <v>55</v>
      </c>
      <c r="C151" s="28"/>
      <c r="D151" s="29">
        <f>'ROL DE AGOSTO'!S12</f>
        <v>229.71428571428572</v>
      </c>
    </row>
    <row r="152" spans="1:4" ht="24" x14ac:dyDescent="0.3">
      <c r="A152" s="26"/>
      <c r="B152" s="27" t="s">
        <v>18</v>
      </c>
      <c r="C152" s="28"/>
      <c r="D152" s="29">
        <f>'ROL DE AGOSTO'!P12</f>
        <v>72.349999999999994</v>
      </c>
    </row>
    <row r="153" spans="1:4" x14ac:dyDescent="0.3">
      <c r="A153" s="207"/>
      <c r="B153" s="208" t="s">
        <v>12</v>
      </c>
      <c r="C153" s="209">
        <f>SUM(C145:C152)</f>
        <v>536</v>
      </c>
      <c r="D153" s="210">
        <f>SUM(D145:D152)</f>
        <v>363.43428571428569</v>
      </c>
    </row>
    <row r="154" spans="1:4" ht="28.2" x14ac:dyDescent="0.3">
      <c r="A154" s="21"/>
      <c r="B154" s="45"/>
      <c r="C154" s="211" t="s">
        <v>13</v>
      </c>
      <c r="D154" s="212">
        <f>+C153-D153</f>
        <v>172.56571428571431</v>
      </c>
    </row>
    <row r="155" spans="1:4" ht="15" thickBot="1" x14ac:dyDescent="0.35">
      <c r="A155" s="23"/>
      <c r="B155" s="4" t="s">
        <v>14</v>
      </c>
      <c r="C155" s="2"/>
      <c r="D155" s="24"/>
    </row>
    <row r="156" spans="1:4" x14ac:dyDescent="0.3">
      <c r="A156" s="213" t="s">
        <v>28</v>
      </c>
      <c r="B156" s="213" t="s">
        <v>93</v>
      </c>
      <c r="C156" s="348" t="s">
        <v>30</v>
      </c>
      <c r="D156" s="349"/>
    </row>
    <row r="157" spans="1:4" x14ac:dyDescent="0.3">
      <c r="A157" s="37"/>
      <c r="B157" s="34"/>
      <c r="C157" s="32"/>
      <c r="D157" s="25"/>
    </row>
    <row r="158" spans="1:4" x14ac:dyDescent="0.3">
      <c r="A158" s="37"/>
      <c r="B158" s="34"/>
      <c r="C158" s="32"/>
      <c r="D158" s="25"/>
    </row>
    <row r="159" spans="1:4" x14ac:dyDescent="0.3">
      <c r="A159" s="37"/>
      <c r="B159" s="34"/>
      <c r="C159" s="32"/>
      <c r="D159" s="25"/>
    </row>
    <row r="160" spans="1:4" x14ac:dyDescent="0.3">
      <c r="A160" s="37"/>
      <c r="B160" s="34"/>
      <c r="C160" s="32"/>
      <c r="D160" s="25"/>
    </row>
    <row r="161" spans="1:4" x14ac:dyDescent="0.3">
      <c r="A161" s="37"/>
      <c r="B161" s="34"/>
      <c r="C161" s="32"/>
      <c r="D161" s="25"/>
    </row>
    <row r="162" spans="1:4" x14ac:dyDescent="0.3">
      <c r="A162" s="38" t="s">
        <v>298</v>
      </c>
      <c r="B162" s="35" t="s">
        <v>297</v>
      </c>
      <c r="C162" s="290" t="str">
        <f>'ROL INDIVIDUAL'!B138</f>
        <v>JEANET VIVIANA VASQUEZ YUMBO</v>
      </c>
      <c r="D162" s="291"/>
    </row>
    <row r="163" spans="1:4" ht="15" thickBot="1" x14ac:dyDescent="0.35">
      <c r="A163" s="36" t="s">
        <v>246</v>
      </c>
      <c r="B163" s="33" t="s">
        <v>299</v>
      </c>
      <c r="C163" s="353">
        <f>B139</f>
        <v>1500814940</v>
      </c>
      <c r="D163" s="354"/>
    </row>
    <row r="164" spans="1:4" x14ac:dyDescent="0.3">
      <c r="A164" s="214"/>
      <c r="B164" s="58"/>
      <c r="C164" s="59"/>
      <c r="D164" s="215"/>
    </row>
    <row r="165" spans="1:4" ht="15" thickBot="1" x14ac:dyDescent="0.35">
      <c r="A165" s="214"/>
      <c r="B165" s="58"/>
      <c r="C165" s="59"/>
      <c r="D165" s="215"/>
    </row>
    <row r="166" spans="1:4" x14ac:dyDescent="0.3">
      <c r="A166" s="294"/>
      <c r="B166" s="295"/>
      <c r="C166" s="295"/>
      <c r="D166" s="296"/>
    </row>
    <row r="167" spans="1:4" x14ac:dyDescent="0.3">
      <c r="A167" s="307"/>
      <c r="B167" s="308"/>
      <c r="C167" s="308"/>
      <c r="D167" s="309"/>
    </row>
    <row r="168" spans="1:4" ht="15" thickBot="1" x14ac:dyDescent="0.35">
      <c r="A168" s="307"/>
      <c r="B168" s="308"/>
      <c r="C168" s="308"/>
      <c r="D168" s="309"/>
    </row>
    <row r="169" spans="1:4" ht="25.8" thickBot="1" x14ac:dyDescent="0.35">
      <c r="A169" s="350" t="s">
        <v>0</v>
      </c>
      <c r="B169" s="351"/>
      <c r="C169" s="351"/>
      <c r="D169" s="352"/>
    </row>
    <row r="170" spans="1:4" x14ac:dyDescent="0.3">
      <c r="A170" s="11" t="s">
        <v>1</v>
      </c>
      <c r="B170" s="3" t="str">
        <f>'ROL DE AGOSTO'!D13</f>
        <v>BONILLA QUERA  INES ROCIO</v>
      </c>
      <c r="C170" s="3"/>
      <c r="D170" s="12"/>
    </row>
    <row r="171" spans="1:4" x14ac:dyDescent="0.3">
      <c r="A171" s="11" t="s">
        <v>2</v>
      </c>
      <c r="B171" s="10" t="str">
        <f>'ROL DE AGOSTO'!C13</f>
        <v>2200277818</v>
      </c>
      <c r="C171" s="4"/>
      <c r="D171" s="13"/>
    </row>
    <row r="172" spans="1:4" x14ac:dyDescent="0.3">
      <c r="A172" s="11" t="s">
        <v>3</v>
      </c>
      <c r="B172" s="3" t="str">
        <f>'ROL DE AGOSTO'!E13</f>
        <v>TESORERA_SECRETARIA</v>
      </c>
      <c r="C172" s="4"/>
      <c r="D172" s="14"/>
    </row>
    <row r="173" spans="1:4" x14ac:dyDescent="0.3">
      <c r="A173" s="11" t="s">
        <v>26</v>
      </c>
      <c r="B173" s="3" t="str">
        <f>'ROL DE AGOSTO'!A13</f>
        <v>AGOSTO</v>
      </c>
      <c r="C173" s="4"/>
      <c r="D173" s="15"/>
    </row>
    <row r="174" spans="1:4" x14ac:dyDescent="0.3">
      <c r="A174" s="11" t="s">
        <v>99</v>
      </c>
      <c r="B174" s="55">
        <f>'ROL DE AGOSTO'!B13</f>
        <v>2023</v>
      </c>
      <c r="C174" s="4"/>
      <c r="D174" s="15"/>
    </row>
    <row r="175" spans="1:4" x14ac:dyDescent="0.3">
      <c r="A175" s="203" t="s">
        <v>94</v>
      </c>
      <c r="B175" s="204"/>
      <c r="C175" s="205" t="s">
        <v>5</v>
      </c>
      <c r="D175" s="206" t="s">
        <v>6</v>
      </c>
    </row>
    <row r="176" spans="1:4" x14ac:dyDescent="0.3">
      <c r="A176" s="18"/>
      <c r="B176" s="6"/>
      <c r="C176" s="7"/>
      <c r="D176" s="19"/>
    </row>
    <row r="177" spans="1:4" x14ac:dyDescent="0.3">
      <c r="A177" s="26" t="s">
        <v>16</v>
      </c>
      <c r="B177" s="27"/>
      <c r="C177" s="28">
        <f>'ROL DE AGOSTO'!F13</f>
        <v>733</v>
      </c>
      <c r="D177" s="29"/>
    </row>
    <row r="178" spans="1:4" x14ac:dyDescent="0.3">
      <c r="A178" s="26" t="s">
        <v>105</v>
      </c>
      <c r="B178" s="27"/>
      <c r="C178" s="28"/>
      <c r="D178" s="29"/>
    </row>
    <row r="179" spans="1:4" x14ac:dyDescent="0.3">
      <c r="A179" s="26" t="s">
        <v>8</v>
      </c>
      <c r="B179" s="27"/>
      <c r="C179" s="28"/>
      <c r="D179" s="29"/>
    </row>
    <row r="180" spans="1:4" x14ac:dyDescent="0.3">
      <c r="A180" s="26" t="s">
        <v>9</v>
      </c>
      <c r="B180" s="27"/>
      <c r="C180" s="28"/>
      <c r="D180" s="29"/>
    </row>
    <row r="181" spans="1:4" ht="24" x14ac:dyDescent="0.3">
      <c r="A181" s="26"/>
      <c r="B181" s="27" t="s">
        <v>10</v>
      </c>
      <c r="C181" s="28"/>
      <c r="D181" s="29">
        <f>'ROL DE AGOSTO'!L13</f>
        <v>83.93</v>
      </c>
    </row>
    <row r="182" spans="1:4" ht="24" x14ac:dyDescent="0.3">
      <c r="A182" s="26"/>
      <c r="B182" s="27" t="s">
        <v>11</v>
      </c>
      <c r="C182" s="28"/>
      <c r="D182" s="29">
        <f>'ROL DE AGOSTO'!O142</f>
        <v>0</v>
      </c>
    </row>
    <row r="183" spans="1:4" x14ac:dyDescent="0.3">
      <c r="A183" s="26"/>
      <c r="B183" s="27" t="s">
        <v>55</v>
      </c>
      <c r="C183" s="28"/>
      <c r="D183" s="29">
        <f>'ROL DE AGOSTO'!S142</f>
        <v>0</v>
      </c>
    </row>
    <row r="184" spans="1:4" ht="24" x14ac:dyDescent="0.3">
      <c r="A184" s="26"/>
      <c r="B184" s="27" t="s">
        <v>18</v>
      </c>
      <c r="C184" s="28"/>
      <c r="D184" s="29">
        <f>'ROL DE AGOSTO'!P142</f>
        <v>0</v>
      </c>
    </row>
    <row r="185" spans="1:4" x14ac:dyDescent="0.3">
      <c r="A185" s="207"/>
      <c r="B185" s="208" t="s">
        <v>12</v>
      </c>
      <c r="C185" s="209">
        <f>SUM(C177:C184)</f>
        <v>733</v>
      </c>
      <c r="D185" s="210">
        <f>SUM(D177:D184)</f>
        <v>83.93</v>
      </c>
    </row>
    <row r="186" spans="1:4" ht="28.2" x14ac:dyDescent="0.3">
      <c r="A186" s="21"/>
      <c r="B186" s="45"/>
      <c r="C186" s="211" t="s">
        <v>13</v>
      </c>
      <c r="D186" s="212">
        <f>+C185-D185</f>
        <v>649.06999999999994</v>
      </c>
    </row>
    <row r="187" spans="1:4" ht="15" thickBot="1" x14ac:dyDescent="0.35">
      <c r="A187" s="23"/>
      <c r="B187" s="4" t="s">
        <v>14</v>
      </c>
      <c r="C187" s="2"/>
      <c r="D187" s="24"/>
    </row>
    <row r="188" spans="1:4" x14ac:dyDescent="0.3">
      <c r="A188" s="213" t="s">
        <v>28</v>
      </c>
      <c r="B188" s="213" t="s">
        <v>93</v>
      </c>
      <c r="C188" s="348" t="s">
        <v>30</v>
      </c>
      <c r="D188" s="349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8" t="s">
        <v>298</v>
      </c>
      <c r="B194" s="35" t="s">
        <v>297</v>
      </c>
      <c r="C194" s="290" t="str">
        <f>B170</f>
        <v>BONILLA QUERA  INES ROCIO</v>
      </c>
      <c r="D194" s="291"/>
    </row>
    <row r="195" spans="1:4" ht="15" thickBot="1" x14ac:dyDescent="0.35">
      <c r="A195" s="36" t="s">
        <v>246</v>
      </c>
      <c r="B195" s="33" t="s">
        <v>299</v>
      </c>
      <c r="C195" s="353" t="str">
        <f>B171</f>
        <v>2200277818</v>
      </c>
      <c r="D195" s="354"/>
    </row>
    <row r="203" spans="1:4" ht="15" thickBot="1" x14ac:dyDescent="0.35"/>
    <row r="204" spans="1:4" x14ac:dyDescent="0.3">
      <c r="A204" s="294"/>
      <c r="B204" s="295"/>
      <c r="C204" s="295"/>
      <c r="D204" s="296"/>
    </row>
    <row r="205" spans="1:4" x14ac:dyDescent="0.3">
      <c r="A205" s="307"/>
      <c r="B205" s="308"/>
      <c r="C205" s="308"/>
      <c r="D205" s="309"/>
    </row>
    <row r="206" spans="1:4" ht="15" thickBot="1" x14ac:dyDescent="0.35">
      <c r="A206" s="307"/>
      <c r="B206" s="308"/>
      <c r="C206" s="308"/>
      <c r="D206" s="309"/>
    </row>
    <row r="207" spans="1:4" ht="25.8" thickBot="1" x14ac:dyDescent="0.35">
      <c r="A207" s="350" t="s">
        <v>0</v>
      </c>
      <c r="B207" s="351"/>
      <c r="C207" s="351"/>
      <c r="D207" s="352"/>
    </row>
    <row r="208" spans="1:4" x14ac:dyDescent="0.3">
      <c r="A208" s="11" t="s">
        <v>1</v>
      </c>
      <c r="B208" s="3" t="str">
        <f>'ROL DE AGOSTO'!D29</f>
        <v>AREVALO VILLACRES MONICA LETICIA</v>
      </c>
      <c r="C208" s="3"/>
      <c r="D208" s="12"/>
    </row>
    <row r="209" spans="1:4" x14ac:dyDescent="0.3">
      <c r="A209" s="11" t="s">
        <v>2</v>
      </c>
      <c r="B209" s="55" t="str">
        <f>'ROL DE AGOSTO'!C29</f>
        <v>2250187560</v>
      </c>
      <c r="C209" s="4"/>
      <c r="D209" s="13"/>
    </row>
    <row r="210" spans="1:4" x14ac:dyDescent="0.3">
      <c r="A210" s="11" t="s">
        <v>3</v>
      </c>
      <c r="B210" s="3" t="str">
        <f>'ROL DE AGOSTO'!E29</f>
        <v>SECRETARIA-AUXILIAR</v>
      </c>
      <c r="C210" s="4"/>
      <c r="D210" s="14"/>
    </row>
    <row r="211" spans="1:4" x14ac:dyDescent="0.3">
      <c r="A211" s="11" t="s">
        <v>26</v>
      </c>
      <c r="B211" s="3" t="str">
        <f>'ROL DE AGOSTO'!A29</f>
        <v>AGOSTO</v>
      </c>
      <c r="C211" s="4"/>
      <c r="D211" s="15"/>
    </row>
    <row r="212" spans="1:4" x14ac:dyDescent="0.3">
      <c r="A212" s="11" t="s">
        <v>99</v>
      </c>
      <c r="B212" s="55">
        <f>'ROL DE AGOSTO'!B211</f>
        <v>0</v>
      </c>
      <c r="C212" s="4"/>
      <c r="D212" s="15"/>
    </row>
    <row r="213" spans="1:4" x14ac:dyDescent="0.3">
      <c r="A213" s="203" t="s">
        <v>94</v>
      </c>
      <c r="B213" s="204"/>
      <c r="C213" s="205" t="s">
        <v>5</v>
      </c>
      <c r="D213" s="206" t="s">
        <v>6</v>
      </c>
    </row>
    <row r="214" spans="1:4" x14ac:dyDescent="0.3">
      <c r="A214" s="18"/>
      <c r="B214" s="6"/>
      <c r="C214" s="7"/>
      <c r="D214" s="19"/>
    </row>
    <row r="215" spans="1:4" x14ac:dyDescent="0.3">
      <c r="A215" s="26" t="s">
        <v>16</v>
      </c>
      <c r="B215" s="27"/>
      <c r="C215" s="28">
        <f>'ROL DE AGOSTO'!F29</f>
        <v>553</v>
      </c>
      <c r="D215" s="29"/>
    </row>
    <row r="216" spans="1:4" x14ac:dyDescent="0.3">
      <c r="A216" s="26" t="s">
        <v>105</v>
      </c>
      <c r="B216" s="27"/>
      <c r="C216" s="28"/>
      <c r="D216" s="29"/>
    </row>
    <row r="217" spans="1:4" x14ac:dyDescent="0.3">
      <c r="A217" s="26" t="s">
        <v>8</v>
      </c>
      <c r="B217" s="27"/>
      <c r="C217" s="28"/>
      <c r="D217" s="29"/>
    </row>
    <row r="218" spans="1:4" x14ac:dyDescent="0.3">
      <c r="A218" s="26" t="s">
        <v>9</v>
      </c>
      <c r="B218" s="27"/>
      <c r="C218" s="28"/>
      <c r="D218" s="29"/>
    </row>
    <row r="219" spans="1:4" ht="24" x14ac:dyDescent="0.3">
      <c r="A219" s="26"/>
      <c r="B219" s="27" t="s">
        <v>10</v>
      </c>
      <c r="C219" s="28"/>
      <c r="D219" s="29">
        <f>'ROL DE AGOSTO'!L29</f>
        <v>52.258499999999991</v>
      </c>
    </row>
    <row r="220" spans="1:4" ht="24" x14ac:dyDescent="0.3">
      <c r="A220" s="26"/>
      <c r="B220" s="27" t="s">
        <v>304</v>
      </c>
      <c r="C220" s="28"/>
      <c r="D220" s="29">
        <f>'ROL DE AGOSTO'!O29</f>
        <v>0</v>
      </c>
    </row>
    <row r="221" spans="1:4" x14ac:dyDescent="0.3">
      <c r="A221" s="26"/>
      <c r="B221" s="27" t="s">
        <v>55</v>
      </c>
      <c r="C221" s="28"/>
      <c r="D221" s="29">
        <f>'ROL DE AGOSTO'!S29</f>
        <v>0</v>
      </c>
    </row>
    <row r="222" spans="1:4" ht="24" x14ac:dyDescent="0.3">
      <c r="A222" s="26"/>
      <c r="B222" s="27" t="s">
        <v>18</v>
      </c>
      <c r="C222" s="28"/>
      <c r="D222" s="29">
        <f>'ROL DE AGOSTO'!P29</f>
        <v>0</v>
      </c>
    </row>
    <row r="223" spans="1:4" x14ac:dyDescent="0.3">
      <c r="A223" s="207"/>
      <c r="B223" s="208" t="s">
        <v>12</v>
      </c>
      <c r="C223" s="209">
        <f>SUM(C215:C222)</f>
        <v>553</v>
      </c>
      <c r="D223" s="210">
        <f>SUM(D215:D222)</f>
        <v>52.258499999999991</v>
      </c>
    </row>
    <row r="224" spans="1:4" ht="28.2" x14ac:dyDescent="0.3">
      <c r="A224" s="21"/>
      <c r="B224" s="45"/>
      <c r="C224" s="211" t="s">
        <v>13</v>
      </c>
      <c r="D224" s="212">
        <f>+C223-D223</f>
        <v>500.74150000000003</v>
      </c>
    </row>
    <row r="225" spans="1:4" ht="15" thickBot="1" x14ac:dyDescent="0.35">
      <c r="A225" s="23"/>
      <c r="B225" s="4" t="s">
        <v>14</v>
      </c>
      <c r="C225" s="2"/>
      <c r="D225" s="24"/>
    </row>
    <row r="226" spans="1:4" x14ac:dyDescent="0.3">
      <c r="A226" s="213" t="s">
        <v>28</v>
      </c>
      <c r="B226" s="213" t="s">
        <v>93</v>
      </c>
      <c r="C226" s="348" t="s">
        <v>30</v>
      </c>
      <c r="D226" s="349"/>
    </row>
    <row r="227" spans="1:4" x14ac:dyDescent="0.3">
      <c r="A227" s="37"/>
      <c r="B227" s="34"/>
      <c r="C227" s="32"/>
      <c r="D227" s="25"/>
    </row>
    <row r="228" spans="1:4" x14ac:dyDescent="0.3">
      <c r="A228" s="37"/>
      <c r="B228" s="34"/>
      <c r="C228" s="32"/>
      <c r="D228" s="25"/>
    </row>
    <row r="229" spans="1:4" x14ac:dyDescent="0.3">
      <c r="A229" s="37"/>
      <c r="B229" s="34"/>
      <c r="C229" s="32"/>
      <c r="D229" s="25"/>
    </row>
    <row r="230" spans="1:4" x14ac:dyDescent="0.3">
      <c r="A230" s="37"/>
      <c r="B230" s="34"/>
      <c r="C230" s="32"/>
      <c r="D230" s="25"/>
    </row>
    <row r="231" spans="1:4" x14ac:dyDescent="0.3">
      <c r="A231" s="37"/>
      <c r="B231" s="34"/>
      <c r="C231" s="32"/>
      <c r="D231" s="25"/>
    </row>
    <row r="232" spans="1:4" x14ac:dyDescent="0.3">
      <c r="A232" s="38" t="s">
        <v>298</v>
      </c>
      <c r="B232" s="35" t="s">
        <v>297</v>
      </c>
      <c r="C232" s="290" t="str">
        <f>'ROL INDIVIDUAL'!B208</f>
        <v>AREVALO VILLACRES MONICA LETICIA</v>
      </c>
      <c r="D232" s="291"/>
    </row>
    <row r="233" spans="1:4" ht="15" thickBot="1" x14ac:dyDescent="0.35">
      <c r="A233" s="36" t="s">
        <v>246</v>
      </c>
      <c r="B233" s="33" t="s">
        <v>299</v>
      </c>
      <c r="C233" s="353" t="str">
        <f>B209</f>
        <v>2250187560</v>
      </c>
      <c r="D233" s="354"/>
    </row>
    <row r="234" spans="1:4" x14ac:dyDescent="0.3">
      <c r="A234" s="214"/>
      <c r="B234" s="58"/>
      <c r="C234" s="59"/>
      <c r="D234" s="215"/>
    </row>
    <row r="235" spans="1:4" ht="15" thickBot="1" x14ac:dyDescent="0.35">
      <c r="A235" s="214"/>
      <c r="B235" s="58"/>
      <c r="C235" s="59"/>
      <c r="D235" s="215"/>
    </row>
    <row r="236" spans="1:4" x14ac:dyDescent="0.3">
      <c r="A236" s="294"/>
      <c r="B236" s="295"/>
      <c r="C236" s="295"/>
      <c r="D236" s="296"/>
    </row>
    <row r="237" spans="1:4" x14ac:dyDescent="0.3">
      <c r="A237" s="307"/>
      <c r="B237" s="308"/>
      <c r="C237" s="308"/>
      <c r="D237" s="309"/>
    </row>
    <row r="238" spans="1:4" ht="15" thickBot="1" x14ac:dyDescent="0.35">
      <c r="A238" s="307"/>
      <c r="B238" s="308"/>
      <c r="C238" s="308"/>
      <c r="D238" s="309"/>
    </row>
    <row r="239" spans="1:4" ht="25.8" thickBot="1" x14ac:dyDescent="0.35">
      <c r="A239" s="350" t="s">
        <v>0</v>
      </c>
      <c r="B239" s="351"/>
      <c r="C239" s="351"/>
      <c r="D239" s="352"/>
    </row>
    <row r="240" spans="1:4" x14ac:dyDescent="0.3">
      <c r="A240" s="11" t="s">
        <v>1</v>
      </c>
      <c r="B240" s="3" t="str">
        <f>'ROL DE AGOSTO'!D30</f>
        <v>CHALCO HURTADO WILMER HERNANDO</v>
      </c>
      <c r="C240" s="3"/>
      <c r="D240" s="12"/>
    </row>
    <row r="241" spans="1:4" x14ac:dyDescent="0.3">
      <c r="A241" s="11" t="s">
        <v>2</v>
      </c>
      <c r="B241" s="218" t="str">
        <f>'ROL DE AGOSTO'!C30</f>
        <v>0702864372</v>
      </c>
      <c r="C241" s="4"/>
      <c r="D241" s="13"/>
    </row>
    <row r="242" spans="1:4" x14ac:dyDescent="0.3">
      <c r="A242" s="11" t="s">
        <v>3</v>
      </c>
      <c r="B242" s="3" t="str">
        <f>'ROL DE AGOSTO'!E30</f>
        <v>OPERADOR EXCAVADORA</v>
      </c>
      <c r="C242" s="4"/>
      <c r="D242" s="14"/>
    </row>
    <row r="243" spans="1:4" x14ac:dyDescent="0.3">
      <c r="A243" s="11" t="s">
        <v>26</v>
      </c>
      <c r="B243" s="3">
        <f>'ROL DE AGOSTO'!A212</f>
        <v>0</v>
      </c>
      <c r="C243" s="4"/>
      <c r="D243" s="15"/>
    </row>
    <row r="244" spans="1:4" x14ac:dyDescent="0.3">
      <c r="A244" s="11" t="s">
        <v>99</v>
      </c>
      <c r="B244" s="55">
        <f>'ROL DE AGOSTO'!B211</f>
        <v>0</v>
      </c>
      <c r="C244" s="4"/>
      <c r="D244" s="15"/>
    </row>
    <row r="245" spans="1:4" x14ac:dyDescent="0.3">
      <c r="A245" s="203" t="s">
        <v>94</v>
      </c>
      <c r="B245" s="204"/>
      <c r="C245" s="205" t="s">
        <v>5</v>
      </c>
      <c r="D245" s="206" t="s">
        <v>6</v>
      </c>
    </row>
    <row r="246" spans="1:4" x14ac:dyDescent="0.3">
      <c r="A246" s="18"/>
      <c r="B246" s="6"/>
      <c r="C246" s="7"/>
      <c r="D246" s="19"/>
    </row>
    <row r="247" spans="1:4" x14ac:dyDescent="0.3">
      <c r="A247" s="26" t="s">
        <v>16</v>
      </c>
      <c r="B247" s="27"/>
      <c r="C247" s="28">
        <f>'ROL DE AGOSTO'!F30</f>
        <v>708</v>
      </c>
      <c r="D247" s="29"/>
    </row>
    <row r="248" spans="1:4" x14ac:dyDescent="0.3">
      <c r="A248" s="26" t="s">
        <v>105</v>
      </c>
      <c r="B248" s="27"/>
      <c r="C248" s="28"/>
      <c r="D248" s="29"/>
    </row>
    <row r="249" spans="1:4" x14ac:dyDescent="0.3">
      <c r="A249" s="26" t="s">
        <v>8</v>
      </c>
      <c r="B249" s="27"/>
      <c r="C249" s="28"/>
      <c r="D249" s="29"/>
    </row>
    <row r="250" spans="1:4" x14ac:dyDescent="0.3">
      <c r="A250" s="26" t="s">
        <v>9</v>
      </c>
      <c r="B250" s="27"/>
      <c r="C250" s="28"/>
      <c r="D250" s="29"/>
    </row>
    <row r="251" spans="1:4" ht="24" x14ac:dyDescent="0.3">
      <c r="A251" s="26"/>
      <c r="B251" s="27" t="s">
        <v>10</v>
      </c>
      <c r="C251" s="28"/>
      <c r="D251" s="29">
        <f>'ROL DE AGOSTO'!L30</f>
        <v>66.905999999999992</v>
      </c>
    </row>
    <row r="252" spans="1:4" ht="24" x14ac:dyDescent="0.3">
      <c r="A252" s="26"/>
      <c r="B252" s="27" t="s">
        <v>11</v>
      </c>
      <c r="C252" s="28"/>
      <c r="D252" s="29">
        <f>'ROL DE AGOSTO'!O30</f>
        <v>0</v>
      </c>
    </row>
    <row r="253" spans="1:4" x14ac:dyDescent="0.3">
      <c r="A253" s="26"/>
      <c r="B253" s="27" t="s">
        <v>55</v>
      </c>
      <c r="C253" s="28"/>
      <c r="D253" s="29">
        <f>'ROL DE AGOSTO'!S30</f>
        <v>157.33333333333334</v>
      </c>
    </row>
    <row r="254" spans="1:4" ht="24" x14ac:dyDescent="0.3">
      <c r="A254" s="26"/>
      <c r="B254" s="27" t="s">
        <v>18</v>
      </c>
      <c r="C254" s="28"/>
      <c r="D254" s="29">
        <f>'ROL DE AGOSTO'!P30</f>
        <v>0</v>
      </c>
    </row>
    <row r="255" spans="1:4" x14ac:dyDescent="0.3">
      <c r="A255" s="207"/>
      <c r="B255" s="208" t="s">
        <v>12</v>
      </c>
      <c r="C255" s="209">
        <f>SUM(C247:C254)</f>
        <v>708</v>
      </c>
      <c r="D255" s="210">
        <f>SUM(D247:D254)</f>
        <v>224.23933333333332</v>
      </c>
    </row>
    <row r="256" spans="1:4" ht="28.2" x14ac:dyDescent="0.3">
      <c r="A256" s="21"/>
      <c r="B256" s="45"/>
      <c r="C256" s="211" t="s">
        <v>13</v>
      </c>
      <c r="D256" s="212">
        <f>+C255-D255</f>
        <v>483.76066666666668</v>
      </c>
    </row>
    <row r="257" spans="1:4" ht="15" thickBot="1" x14ac:dyDescent="0.35">
      <c r="A257" s="23"/>
      <c r="B257" s="4" t="s">
        <v>14</v>
      </c>
      <c r="C257" s="2"/>
      <c r="D257" s="24"/>
    </row>
    <row r="258" spans="1:4" x14ac:dyDescent="0.3">
      <c r="A258" s="213" t="s">
        <v>28</v>
      </c>
      <c r="B258" s="213" t="s">
        <v>93</v>
      </c>
      <c r="C258" s="348" t="s">
        <v>30</v>
      </c>
      <c r="D258" s="349"/>
    </row>
    <row r="259" spans="1:4" x14ac:dyDescent="0.3">
      <c r="A259" s="37"/>
      <c r="B259" s="34"/>
      <c r="C259" s="32"/>
      <c r="D259" s="25"/>
    </row>
    <row r="260" spans="1:4" x14ac:dyDescent="0.3">
      <c r="A260" s="37"/>
      <c r="B260" s="34"/>
      <c r="C260" s="32"/>
      <c r="D260" s="25"/>
    </row>
    <row r="261" spans="1:4" x14ac:dyDescent="0.3">
      <c r="A261" s="37"/>
      <c r="B261" s="34"/>
      <c r="C261" s="32"/>
      <c r="D261" s="25"/>
    </row>
    <row r="262" spans="1:4" x14ac:dyDescent="0.3">
      <c r="A262" s="37"/>
      <c r="B262" s="34"/>
      <c r="C262" s="32"/>
      <c r="D262" s="25"/>
    </row>
    <row r="263" spans="1:4" x14ac:dyDescent="0.3">
      <c r="A263" s="37"/>
      <c r="B263" s="34"/>
      <c r="C263" s="32"/>
      <c r="D263" s="25"/>
    </row>
    <row r="264" spans="1:4" x14ac:dyDescent="0.3">
      <c r="A264" s="38" t="s">
        <v>298</v>
      </c>
      <c r="B264" s="35" t="s">
        <v>297</v>
      </c>
      <c r="C264" s="290" t="str">
        <f>B240</f>
        <v>CHALCO HURTADO WILMER HERNANDO</v>
      </c>
      <c r="D264" s="291"/>
    </row>
    <row r="265" spans="1:4" ht="15" thickBot="1" x14ac:dyDescent="0.35">
      <c r="A265" s="36" t="s">
        <v>246</v>
      </c>
      <c r="B265" s="33" t="s">
        <v>299</v>
      </c>
      <c r="C265" s="353" t="str">
        <f>B241</f>
        <v>0702864372</v>
      </c>
      <c r="D265" s="354"/>
    </row>
    <row r="273" spans="1:4" ht="15" thickBot="1" x14ac:dyDescent="0.35"/>
    <row r="274" spans="1:4" x14ac:dyDescent="0.3">
      <c r="A274" s="294"/>
      <c r="B274" s="295"/>
      <c r="C274" s="295"/>
      <c r="D274" s="296"/>
    </row>
    <row r="275" spans="1:4" x14ac:dyDescent="0.3">
      <c r="A275" s="307"/>
      <c r="B275" s="308"/>
      <c r="C275" s="308"/>
      <c r="D275" s="309"/>
    </row>
    <row r="276" spans="1:4" ht="15" thickBot="1" x14ac:dyDescent="0.35">
      <c r="A276" s="307"/>
      <c r="B276" s="308"/>
      <c r="C276" s="308"/>
      <c r="D276" s="309"/>
    </row>
    <row r="277" spans="1:4" ht="25.8" thickBot="1" x14ac:dyDescent="0.35">
      <c r="A277" s="350" t="s">
        <v>0</v>
      </c>
      <c r="B277" s="351"/>
      <c r="C277" s="351"/>
      <c r="D277" s="352"/>
    </row>
    <row r="278" spans="1:4" x14ac:dyDescent="0.3">
      <c r="A278" s="11" t="s">
        <v>1</v>
      </c>
      <c r="B278" s="3" t="str">
        <f>'ROL DE AGOSTO'!D31</f>
        <v>PAPA COQUINCHE JUAN LEVINGSTONE</v>
      </c>
      <c r="C278" s="3"/>
      <c r="D278" s="12"/>
    </row>
    <row r="279" spans="1:4" x14ac:dyDescent="0.3">
      <c r="A279" s="11" t="s">
        <v>2</v>
      </c>
      <c r="B279" s="218" t="str">
        <f>'ROL DE AGOSTO'!C31</f>
        <v>1500709041</v>
      </c>
      <c r="C279" s="4"/>
      <c r="D279" s="13"/>
    </row>
    <row r="280" spans="1:4" x14ac:dyDescent="0.3">
      <c r="A280" s="11" t="s">
        <v>3</v>
      </c>
      <c r="B280" s="3" t="str">
        <f>'ROL DE AGOSTO'!E31</f>
        <v>OPERADOR MAQUINARIA AGRICOLA</v>
      </c>
      <c r="C280" s="4"/>
      <c r="D280" s="14"/>
    </row>
    <row r="281" spans="1:4" x14ac:dyDescent="0.3">
      <c r="A281" s="11" t="s">
        <v>26</v>
      </c>
      <c r="B281" s="3" t="str">
        <f>'ROL DE AGOSTO'!A31</f>
        <v>AGOSTO</v>
      </c>
      <c r="C281" s="4"/>
      <c r="D281" s="15"/>
    </row>
    <row r="282" spans="1:4" x14ac:dyDescent="0.3">
      <c r="A282" s="11" t="s">
        <v>99</v>
      </c>
      <c r="B282" s="55">
        <f>'ROL DE AGOSTO'!B31</f>
        <v>2023</v>
      </c>
      <c r="C282" s="4"/>
      <c r="D282" s="15"/>
    </row>
    <row r="283" spans="1:4" x14ac:dyDescent="0.3">
      <c r="A283" s="203" t="s">
        <v>94</v>
      </c>
      <c r="B283" s="204"/>
      <c r="C283" s="205" t="s">
        <v>5</v>
      </c>
      <c r="D283" s="206" t="s">
        <v>6</v>
      </c>
    </row>
    <row r="284" spans="1:4" x14ac:dyDescent="0.3">
      <c r="A284" s="18"/>
      <c r="B284" s="6"/>
      <c r="C284" s="7"/>
      <c r="D284" s="19"/>
    </row>
    <row r="285" spans="1:4" x14ac:dyDescent="0.3">
      <c r="A285" s="26" t="s">
        <v>16</v>
      </c>
      <c r="B285" s="27"/>
      <c r="C285" s="28">
        <f>'ROL DE AGOSTO'!F31</f>
        <v>566</v>
      </c>
      <c r="D285" s="29"/>
    </row>
    <row r="286" spans="1:4" x14ac:dyDescent="0.3">
      <c r="A286" s="26" t="s">
        <v>105</v>
      </c>
      <c r="B286" s="27"/>
      <c r="C286" s="28"/>
      <c r="D286" s="29"/>
    </row>
    <row r="287" spans="1:4" x14ac:dyDescent="0.3">
      <c r="A287" s="26" t="s">
        <v>8</v>
      </c>
      <c r="B287" s="27"/>
      <c r="C287" s="28"/>
      <c r="D287" s="29"/>
    </row>
    <row r="288" spans="1:4" x14ac:dyDescent="0.3">
      <c r="A288" s="26" t="s">
        <v>9</v>
      </c>
      <c r="B288" s="27"/>
      <c r="C288" s="28"/>
      <c r="D288" s="29"/>
    </row>
    <row r="289" spans="1:4" ht="24" x14ac:dyDescent="0.3">
      <c r="A289" s="26"/>
      <c r="B289" s="27" t="s">
        <v>10</v>
      </c>
      <c r="C289" s="28"/>
      <c r="D289" s="29">
        <f>'ROL DE AGOSTO'!L31</f>
        <v>53.486999999999995</v>
      </c>
    </row>
    <row r="290" spans="1:4" ht="24" x14ac:dyDescent="0.3">
      <c r="A290" s="26"/>
      <c r="B290" s="27" t="s">
        <v>11</v>
      </c>
      <c r="C290" s="28"/>
      <c r="D290" s="29">
        <f>'ROL DE AGOSTO'!O31</f>
        <v>89.85</v>
      </c>
    </row>
    <row r="291" spans="1:4" x14ac:dyDescent="0.3">
      <c r="A291" s="26"/>
      <c r="B291" s="27" t="s">
        <v>55</v>
      </c>
      <c r="C291" s="28"/>
      <c r="D291" s="29">
        <f>'ROL DE AGOSTO'!S31</f>
        <v>283</v>
      </c>
    </row>
    <row r="292" spans="1:4" ht="24" x14ac:dyDescent="0.3">
      <c r="A292" s="26"/>
      <c r="B292" s="27" t="s">
        <v>18</v>
      </c>
      <c r="C292" s="28"/>
      <c r="D292" s="29">
        <f>'ROL DE AGOSTO'!P31</f>
        <v>0</v>
      </c>
    </row>
    <row r="293" spans="1:4" x14ac:dyDescent="0.3">
      <c r="A293" s="207"/>
      <c r="B293" s="208" t="s">
        <v>12</v>
      </c>
      <c r="C293" s="209">
        <f>SUM(C285:C292)</f>
        <v>566</v>
      </c>
      <c r="D293" s="210">
        <f>SUM(D285:D292)</f>
        <v>426.33699999999999</v>
      </c>
    </row>
    <row r="294" spans="1:4" ht="28.2" x14ac:dyDescent="0.3">
      <c r="A294" s="21"/>
      <c r="B294" s="45"/>
      <c r="C294" s="211" t="s">
        <v>13</v>
      </c>
      <c r="D294" s="212">
        <f>+C293-D293</f>
        <v>139.66300000000001</v>
      </c>
    </row>
    <row r="295" spans="1:4" ht="15" thickBot="1" x14ac:dyDescent="0.35">
      <c r="A295" s="23"/>
      <c r="B295" s="4" t="s">
        <v>14</v>
      </c>
      <c r="C295" s="2"/>
      <c r="D295" s="24"/>
    </row>
    <row r="296" spans="1:4" x14ac:dyDescent="0.3">
      <c r="A296" s="213" t="s">
        <v>28</v>
      </c>
      <c r="B296" s="213" t="s">
        <v>93</v>
      </c>
      <c r="C296" s="348" t="s">
        <v>30</v>
      </c>
      <c r="D296" s="349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7"/>
      <c r="B299" s="34"/>
      <c r="C299" s="32"/>
      <c r="D299" s="25"/>
    </row>
    <row r="300" spans="1:4" x14ac:dyDescent="0.3">
      <c r="A300" s="37"/>
      <c r="B300" s="34"/>
      <c r="C300" s="32"/>
      <c r="D300" s="25"/>
    </row>
    <row r="301" spans="1:4" x14ac:dyDescent="0.3">
      <c r="A301" s="37"/>
      <c r="B301" s="34"/>
      <c r="C301" s="32"/>
      <c r="D301" s="25"/>
    </row>
    <row r="302" spans="1:4" x14ac:dyDescent="0.3">
      <c r="A302" s="38" t="s">
        <v>298</v>
      </c>
      <c r="B302" s="35" t="s">
        <v>297</v>
      </c>
      <c r="C302" s="290" t="str">
        <f>'ROL INDIVIDUAL'!B278</f>
        <v>PAPA COQUINCHE JUAN LEVINGSTONE</v>
      </c>
      <c r="D302" s="291"/>
    </row>
    <row r="303" spans="1:4" ht="15" thickBot="1" x14ac:dyDescent="0.35">
      <c r="A303" s="36" t="s">
        <v>246</v>
      </c>
      <c r="B303" s="33" t="s">
        <v>299</v>
      </c>
      <c r="C303" s="353" t="str">
        <f>B279</f>
        <v>1500709041</v>
      </c>
      <c r="D303" s="354"/>
    </row>
    <row r="304" spans="1:4" x14ac:dyDescent="0.3">
      <c r="A304" s="214"/>
      <c r="B304" s="58"/>
      <c r="C304" s="59"/>
      <c r="D304" s="215"/>
    </row>
    <row r="305" spans="1:4" ht="15" thickBot="1" x14ac:dyDescent="0.35">
      <c r="A305" s="214"/>
      <c r="B305" s="58"/>
      <c r="C305" s="59"/>
      <c r="D305" s="215"/>
    </row>
    <row r="306" spans="1:4" x14ac:dyDescent="0.3">
      <c r="A306" s="294"/>
      <c r="B306" s="295"/>
      <c r="C306" s="295"/>
      <c r="D306" s="296"/>
    </row>
    <row r="307" spans="1:4" x14ac:dyDescent="0.3">
      <c r="A307" s="307"/>
      <c r="B307" s="308"/>
      <c r="C307" s="308"/>
      <c r="D307" s="309"/>
    </row>
    <row r="308" spans="1:4" ht="15" thickBot="1" x14ac:dyDescent="0.35">
      <c r="A308" s="307"/>
      <c r="B308" s="308"/>
      <c r="C308" s="308"/>
      <c r="D308" s="309"/>
    </row>
    <row r="309" spans="1:4" ht="25.8" thickBot="1" x14ac:dyDescent="0.35">
      <c r="A309" s="350" t="s">
        <v>0</v>
      </c>
      <c r="B309" s="351"/>
      <c r="C309" s="351"/>
      <c r="D309" s="352"/>
    </row>
    <row r="310" spans="1:4" x14ac:dyDescent="0.3">
      <c r="A310" s="11" t="s">
        <v>1</v>
      </c>
      <c r="B310" s="3" t="str">
        <f>'ROL DE AGOSTO'!D32</f>
        <v>VASQUEZ PUETATE XAVIER IVAN</v>
      </c>
      <c r="C310" s="3"/>
      <c r="D310" s="12"/>
    </row>
    <row r="311" spans="1:4" x14ac:dyDescent="0.3">
      <c r="A311" s="11" t="s">
        <v>2</v>
      </c>
      <c r="B311" s="218" t="str">
        <f>'ROL DE AGOSTO'!C32</f>
        <v>1712044146</v>
      </c>
      <c r="C311" s="4"/>
      <c r="D311" s="13"/>
    </row>
    <row r="312" spans="1:4" x14ac:dyDescent="0.3">
      <c r="A312" s="11" t="s">
        <v>3</v>
      </c>
      <c r="B312" s="3" t="str">
        <f>'ROL DE AGOSTO'!E32</f>
        <v>CONDUCTOR</v>
      </c>
      <c r="C312" s="4"/>
      <c r="D312" s="14"/>
    </row>
    <row r="313" spans="1:4" x14ac:dyDescent="0.3">
      <c r="A313" s="11" t="s">
        <v>26</v>
      </c>
      <c r="B313" s="3" t="str">
        <f>'ROL DE AGOSTO'!A32</f>
        <v>AGOSTO</v>
      </c>
      <c r="C313" s="4"/>
      <c r="D313" s="15"/>
    </row>
    <row r="314" spans="1:4" x14ac:dyDescent="0.3">
      <c r="A314" s="11" t="s">
        <v>99</v>
      </c>
      <c r="B314" s="55">
        <f>'ROL DE AGOSTO'!B32</f>
        <v>2023</v>
      </c>
      <c r="C314" s="4"/>
      <c r="D314" s="15"/>
    </row>
    <row r="315" spans="1:4" x14ac:dyDescent="0.3">
      <c r="A315" s="203" t="s">
        <v>94</v>
      </c>
      <c r="B315" s="204"/>
      <c r="C315" s="205" t="s">
        <v>5</v>
      </c>
      <c r="D315" s="206" t="s">
        <v>6</v>
      </c>
    </row>
    <row r="316" spans="1:4" x14ac:dyDescent="0.3">
      <c r="A316" s="18"/>
      <c r="B316" s="6"/>
      <c r="C316" s="7"/>
      <c r="D316" s="19"/>
    </row>
    <row r="317" spans="1:4" x14ac:dyDescent="0.3">
      <c r="A317" s="26" t="s">
        <v>16</v>
      </c>
      <c r="B317" s="27"/>
      <c r="C317" s="28">
        <f>'ROL DE AGOSTO'!F32</f>
        <v>584</v>
      </c>
      <c r="D317" s="29"/>
    </row>
    <row r="318" spans="1:4" x14ac:dyDescent="0.3">
      <c r="A318" s="26" t="s">
        <v>105</v>
      </c>
      <c r="B318" s="27"/>
      <c r="C318" s="28"/>
      <c r="D318" s="29"/>
    </row>
    <row r="319" spans="1:4" x14ac:dyDescent="0.3">
      <c r="A319" s="26" t="s">
        <v>8</v>
      </c>
      <c r="B319" s="27"/>
      <c r="C319" s="28"/>
      <c r="D319" s="29"/>
    </row>
    <row r="320" spans="1:4" x14ac:dyDescent="0.3">
      <c r="A320" s="26" t="s">
        <v>9</v>
      </c>
      <c r="B320" s="27"/>
      <c r="C320" s="28"/>
      <c r="D320" s="29"/>
    </row>
    <row r="321" spans="1:4" ht="24" x14ac:dyDescent="0.3">
      <c r="A321" s="26"/>
      <c r="B321" s="27" t="s">
        <v>10</v>
      </c>
      <c r="C321" s="28"/>
      <c r="D321" s="29">
        <f>'ROL DE AGOSTO'!L32</f>
        <v>55.187999999999995</v>
      </c>
    </row>
    <row r="322" spans="1:4" ht="24" x14ac:dyDescent="0.3">
      <c r="A322" s="26"/>
      <c r="B322" s="27" t="s">
        <v>307</v>
      </c>
      <c r="C322" s="28"/>
      <c r="D322" s="29">
        <f>'ROL DE AGOSTO'!O32</f>
        <v>70.42</v>
      </c>
    </row>
    <row r="323" spans="1:4" x14ac:dyDescent="0.3">
      <c r="A323" s="26"/>
      <c r="B323" s="27" t="s">
        <v>55</v>
      </c>
      <c r="C323" s="28"/>
      <c r="D323" s="29">
        <f>'ROL DE AGOSTO'!S32</f>
        <v>292</v>
      </c>
    </row>
    <row r="324" spans="1:4" x14ac:dyDescent="0.3">
      <c r="A324" s="26"/>
      <c r="B324" s="27" t="s">
        <v>306</v>
      </c>
      <c r="C324" s="28"/>
      <c r="D324" s="29">
        <f>'ROL DE AGOSTO'!Q32</f>
        <v>66.75</v>
      </c>
    </row>
    <row r="325" spans="1:4" x14ac:dyDescent="0.3">
      <c r="A325" s="207"/>
      <c r="B325" s="208" t="s">
        <v>12</v>
      </c>
      <c r="C325" s="209">
        <f>SUM(C317:C324)</f>
        <v>584</v>
      </c>
      <c r="D325" s="210">
        <f>SUM(D317:D324)</f>
        <v>484.358</v>
      </c>
    </row>
    <row r="326" spans="1:4" ht="28.2" x14ac:dyDescent="0.3">
      <c r="A326" s="21"/>
      <c r="B326" s="45"/>
      <c r="C326" s="211" t="s">
        <v>13</v>
      </c>
      <c r="D326" s="212">
        <f>+C325-D325</f>
        <v>99.641999999999996</v>
      </c>
    </row>
    <row r="327" spans="1:4" ht="15" thickBot="1" x14ac:dyDescent="0.35">
      <c r="A327" s="23"/>
      <c r="B327" s="4" t="s">
        <v>14</v>
      </c>
      <c r="C327" s="2"/>
      <c r="D327" s="24"/>
    </row>
    <row r="328" spans="1:4" x14ac:dyDescent="0.3">
      <c r="A328" s="213" t="s">
        <v>28</v>
      </c>
      <c r="B328" s="213" t="s">
        <v>93</v>
      </c>
      <c r="C328" s="348" t="s">
        <v>30</v>
      </c>
      <c r="D328" s="349"/>
    </row>
    <row r="329" spans="1:4" x14ac:dyDescent="0.3">
      <c r="A329" s="37"/>
      <c r="B329" s="34"/>
      <c r="C329" s="32"/>
      <c r="D329" s="25"/>
    </row>
    <row r="330" spans="1:4" x14ac:dyDescent="0.3">
      <c r="A330" s="37"/>
      <c r="B330" s="34"/>
      <c r="C330" s="32"/>
      <c r="D330" s="25"/>
    </row>
    <row r="331" spans="1:4" x14ac:dyDescent="0.3">
      <c r="A331" s="37"/>
      <c r="B331" s="34"/>
      <c r="C331" s="32"/>
      <c r="D331" s="25"/>
    </row>
    <row r="332" spans="1:4" x14ac:dyDescent="0.3">
      <c r="A332" s="37"/>
      <c r="B332" s="34"/>
      <c r="C332" s="32"/>
      <c r="D332" s="25"/>
    </row>
    <row r="333" spans="1:4" x14ac:dyDescent="0.3">
      <c r="A333" s="37"/>
      <c r="B333" s="34"/>
      <c r="C333" s="32"/>
      <c r="D333" s="25"/>
    </row>
    <row r="334" spans="1:4" x14ac:dyDescent="0.3">
      <c r="A334" s="38" t="s">
        <v>298</v>
      </c>
      <c r="B334" s="35" t="s">
        <v>297</v>
      </c>
      <c r="C334" s="290" t="str">
        <f>B310</f>
        <v>VASQUEZ PUETATE XAVIER IVAN</v>
      </c>
      <c r="D334" s="291"/>
    </row>
    <row r="335" spans="1:4" ht="15" thickBot="1" x14ac:dyDescent="0.35">
      <c r="A335" s="36" t="s">
        <v>246</v>
      </c>
      <c r="B335" s="33" t="s">
        <v>299</v>
      </c>
      <c r="C335" s="353" t="str">
        <f>B311</f>
        <v>1712044146</v>
      </c>
      <c r="D335" s="354"/>
    </row>
    <row r="343" spans="1:4" ht="15" thickBot="1" x14ac:dyDescent="0.35"/>
    <row r="344" spans="1:4" x14ac:dyDescent="0.3">
      <c r="A344" s="294"/>
      <c r="B344" s="295"/>
      <c r="C344" s="295"/>
      <c r="D344" s="296"/>
    </row>
    <row r="345" spans="1:4" x14ac:dyDescent="0.3">
      <c r="A345" s="307"/>
      <c r="B345" s="308"/>
      <c r="C345" s="308"/>
      <c r="D345" s="309"/>
    </row>
    <row r="346" spans="1:4" ht="15" thickBot="1" x14ac:dyDescent="0.35">
      <c r="A346" s="307"/>
      <c r="B346" s="308"/>
      <c r="C346" s="308"/>
      <c r="D346" s="309"/>
    </row>
    <row r="347" spans="1:4" ht="25.8" thickBot="1" x14ac:dyDescent="0.35">
      <c r="A347" s="350" t="s">
        <v>0</v>
      </c>
      <c r="B347" s="351"/>
      <c r="C347" s="351"/>
      <c r="D347" s="352"/>
    </row>
    <row r="348" spans="1:4" x14ac:dyDescent="0.3">
      <c r="A348" s="11" t="s">
        <v>1</v>
      </c>
      <c r="B348" s="3" t="str">
        <f>'ROL DE AGOSTO'!D33</f>
        <v>VELEZ MOREIRA HECTOR ANTONIO</v>
      </c>
      <c r="C348" s="3"/>
      <c r="D348" s="12"/>
    </row>
    <row r="349" spans="1:4" x14ac:dyDescent="0.3">
      <c r="A349" s="11" t="s">
        <v>2</v>
      </c>
      <c r="B349" s="55" t="str">
        <f>'ROL DE AGOSTO'!C33</f>
        <v>1308691953</v>
      </c>
      <c r="C349" s="4"/>
      <c r="D349" s="13"/>
    </row>
    <row r="350" spans="1:4" x14ac:dyDescent="0.3">
      <c r="A350" s="11" t="s">
        <v>3</v>
      </c>
      <c r="B350" s="3" t="str">
        <f>'ROL DE AGOSTO'!E33</f>
        <v>TRABAJADOR AMBIENTAL</v>
      </c>
      <c r="C350" s="4"/>
      <c r="D350" s="14"/>
    </row>
    <row r="351" spans="1:4" x14ac:dyDescent="0.3">
      <c r="A351" s="11" t="s">
        <v>26</v>
      </c>
      <c r="B351" s="3" t="str">
        <f>'ROL DE AGOSTO'!A33</f>
        <v>AGOSTO</v>
      </c>
      <c r="C351" s="4"/>
      <c r="D351" s="15"/>
    </row>
    <row r="352" spans="1:4" x14ac:dyDescent="0.3">
      <c r="A352" s="11" t="s">
        <v>99</v>
      </c>
      <c r="B352" s="55">
        <f>'ROL DE AGOSTO'!B33</f>
        <v>2023</v>
      </c>
      <c r="C352" s="4"/>
      <c r="D352" s="15"/>
    </row>
    <row r="353" spans="1:4" x14ac:dyDescent="0.3">
      <c r="A353" s="203" t="s">
        <v>94</v>
      </c>
      <c r="B353" s="204"/>
      <c r="C353" s="205" t="s">
        <v>5</v>
      </c>
      <c r="D353" s="206" t="s">
        <v>6</v>
      </c>
    </row>
    <row r="354" spans="1:4" x14ac:dyDescent="0.3">
      <c r="A354" s="18"/>
      <c r="B354" s="6"/>
      <c r="C354" s="7"/>
      <c r="D354" s="19"/>
    </row>
    <row r="355" spans="1:4" x14ac:dyDescent="0.3">
      <c r="A355" s="26" t="s">
        <v>16</v>
      </c>
      <c r="B355" s="27"/>
      <c r="C355" s="28">
        <f>'ROL DE AGOSTO'!F33</f>
        <v>527</v>
      </c>
      <c r="D355" s="29"/>
    </row>
    <row r="356" spans="1:4" x14ac:dyDescent="0.3">
      <c r="A356" s="26" t="s">
        <v>105</v>
      </c>
      <c r="B356" s="27"/>
      <c r="C356" s="28"/>
      <c r="D356" s="29"/>
    </row>
    <row r="357" spans="1:4" x14ac:dyDescent="0.3">
      <c r="A357" s="26" t="s">
        <v>8</v>
      </c>
      <c r="B357" s="27"/>
      <c r="C357" s="28"/>
      <c r="D357" s="29"/>
    </row>
    <row r="358" spans="1:4" x14ac:dyDescent="0.3">
      <c r="A358" s="26" t="s">
        <v>9</v>
      </c>
      <c r="B358" s="27"/>
      <c r="C358" s="28"/>
      <c r="D358" s="29"/>
    </row>
    <row r="359" spans="1:4" ht="24" x14ac:dyDescent="0.3">
      <c r="A359" s="26"/>
      <c r="B359" s="27" t="s">
        <v>10</v>
      </c>
      <c r="C359" s="28"/>
      <c r="D359" s="29">
        <f>'ROL DE AGOSTO'!L33</f>
        <v>49.80149999999999</v>
      </c>
    </row>
    <row r="360" spans="1:4" ht="24" x14ac:dyDescent="0.3">
      <c r="A360" s="26"/>
      <c r="B360" s="27" t="s">
        <v>11</v>
      </c>
      <c r="C360" s="28"/>
      <c r="D360" s="29">
        <f>'ROL DE AGOSTO'!O33</f>
        <v>0</v>
      </c>
    </row>
    <row r="361" spans="1:4" x14ac:dyDescent="0.3">
      <c r="A361" s="26"/>
      <c r="B361" s="27" t="s">
        <v>55</v>
      </c>
      <c r="C361" s="28"/>
      <c r="D361" s="29">
        <f>'ROL DE AGOSTO'!S33</f>
        <v>225.85714285714286</v>
      </c>
    </row>
    <row r="362" spans="1:4" ht="24" x14ac:dyDescent="0.3">
      <c r="A362" s="26"/>
      <c r="B362" s="27" t="s">
        <v>18</v>
      </c>
      <c r="C362" s="28"/>
      <c r="D362" s="29">
        <f>'ROL DE AGOSTO'!P33</f>
        <v>0</v>
      </c>
    </row>
    <row r="363" spans="1:4" x14ac:dyDescent="0.3">
      <c r="A363" s="207"/>
      <c r="B363" s="208" t="s">
        <v>12</v>
      </c>
      <c r="C363" s="209">
        <f>SUM(C355:C362)</f>
        <v>527</v>
      </c>
      <c r="D363" s="210">
        <f>SUM(D355:D362)</f>
        <v>275.65864285714287</v>
      </c>
    </row>
    <row r="364" spans="1:4" ht="28.2" x14ac:dyDescent="0.3">
      <c r="A364" s="21"/>
      <c r="B364" s="45"/>
      <c r="C364" s="211" t="s">
        <v>13</v>
      </c>
      <c r="D364" s="212">
        <f>+C363-D363</f>
        <v>251.34135714285713</v>
      </c>
    </row>
    <row r="365" spans="1:4" ht="15" thickBot="1" x14ac:dyDescent="0.35">
      <c r="A365" s="23"/>
      <c r="B365" s="4" t="s">
        <v>14</v>
      </c>
      <c r="C365" s="2"/>
      <c r="D365" s="24"/>
    </row>
    <row r="366" spans="1:4" x14ac:dyDescent="0.3">
      <c r="A366" s="213" t="s">
        <v>28</v>
      </c>
      <c r="B366" s="213" t="s">
        <v>93</v>
      </c>
      <c r="C366" s="348" t="s">
        <v>30</v>
      </c>
      <c r="D366" s="349"/>
    </row>
    <row r="367" spans="1:4" x14ac:dyDescent="0.3">
      <c r="A367" s="37"/>
      <c r="B367" s="34"/>
      <c r="C367" s="32"/>
      <c r="D367" s="25"/>
    </row>
    <row r="368" spans="1:4" x14ac:dyDescent="0.3">
      <c r="A368" s="37"/>
      <c r="B368" s="34"/>
      <c r="C368" s="32"/>
      <c r="D368" s="25"/>
    </row>
    <row r="369" spans="1:4" x14ac:dyDescent="0.3">
      <c r="A369" s="37"/>
      <c r="B369" s="34"/>
      <c r="C369" s="32"/>
      <c r="D369" s="25"/>
    </row>
    <row r="370" spans="1:4" x14ac:dyDescent="0.3">
      <c r="A370" s="37"/>
      <c r="B370" s="34"/>
      <c r="C370" s="32"/>
      <c r="D370" s="25"/>
    </row>
    <row r="371" spans="1:4" x14ac:dyDescent="0.3">
      <c r="A371" s="37"/>
      <c r="B371" s="34"/>
      <c r="C371" s="32"/>
      <c r="D371" s="25"/>
    </row>
    <row r="372" spans="1:4" x14ac:dyDescent="0.3">
      <c r="A372" s="38" t="s">
        <v>298</v>
      </c>
      <c r="B372" s="35" t="s">
        <v>297</v>
      </c>
      <c r="C372" s="290" t="str">
        <f>'ROL INDIVIDUAL'!B348</f>
        <v>VELEZ MOREIRA HECTOR ANTONIO</v>
      </c>
      <c r="D372" s="291"/>
    </row>
    <row r="373" spans="1:4" ht="15" thickBot="1" x14ac:dyDescent="0.35">
      <c r="A373" s="36" t="s">
        <v>246</v>
      </c>
      <c r="B373" s="33" t="s">
        <v>299</v>
      </c>
      <c r="C373" s="353" t="str">
        <f>B349</f>
        <v>1308691953</v>
      </c>
      <c r="D373" s="354"/>
    </row>
    <row r="374" spans="1:4" x14ac:dyDescent="0.3">
      <c r="A374" s="214"/>
      <c r="B374" s="58"/>
      <c r="C374" s="59"/>
      <c r="D374" s="215"/>
    </row>
    <row r="375" spans="1:4" ht="15" thickBot="1" x14ac:dyDescent="0.35">
      <c r="A375" s="214"/>
      <c r="B375" s="58"/>
      <c r="C375" s="59"/>
      <c r="D375" s="215"/>
    </row>
    <row r="376" spans="1:4" x14ac:dyDescent="0.3">
      <c r="A376" s="294"/>
      <c r="B376" s="295"/>
      <c r="C376" s="295"/>
      <c r="D376" s="296"/>
    </row>
    <row r="377" spans="1:4" x14ac:dyDescent="0.3">
      <c r="A377" s="307"/>
      <c r="B377" s="308"/>
      <c r="C377" s="308"/>
      <c r="D377" s="309"/>
    </row>
    <row r="378" spans="1:4" ht="15" thickBot="1" x14ac:dyDescent="0.35">
      <c r="A378" s="307"/>
      <c r="B378" s="308"/>
      <c r="C378" s="308"/>
      <c r="D378" s="309"/>
    </row>
    <row r="379" spans="1:4" ht="25.8" thickBot="1" x14ac:dyDescent="0.35">
      <c r="A379" s="350" t="s">
        <v>0</v>
      </c>
      <c r="B379" s="351"/>
      <c r="C379" s="351"/>
      <c r="D379" s="352"/>
    </row>
    <row r="380" spans="1:4" x14ac:dyDescent="0.3">
      <c r="A380" s="11" t="s">
        <v>1</v>
      </c>
      <c r="B380" s="3" t="str">
        <f>'ROL DE AGOSTO'!D34</f>
        <v>VILLEGAS CARVAJAL JESUS JOSE</v>
      </c>
      <c r="C380" s="3"/>
      <c r="D380" s="12"/>
    </row>
    <row r="381" spans="1:4" x14ac:dyDescent="0.3">
      <c r="A381" s="11" t="s">
        <v>2</v>
      </c>
      <c r="B381" s="218" t="str">
        <f>'ROL DE AGOSTO'!C34</f>
        <v>2200590038</v>
      </c>
      <c r="C381" s="4"/>
      <c r="D381" s="13"/>
    </row>
    <row r="382" spans="1:4" x14ac:dyDescent="0.3">
      <c r="A382" s="11" t="s">
        <v>3</v>
      </c>
      <c r="B382" s="3" t="str">
        <f>'ROL DE AGOSTO'!E34</f>
        <v>GUARDIA</v>
      </c>
      <c r="C382" s="4"/>
      <c r="D382" s="14"/>
    </row>
    <row r="383" spans="1:4" x14ac:dyDescent="0.3">
      <c r="A383" s="11" t="s">
        <v>26</v>
      </c>
      <c r="B383" s="3" t="str">
        <f>'ROL DE AGOSTO'!A34</f>
        <v>AGOSTO</v>
      </c>
      <c r="C383" s="4"/>
      <c r="D383" s="15"/>
    </row>
    <row r="384" spans="1:4" x14ac:dyDescent="0.3">
      <c r="A384" s="11" t="s">
        <v>99</v>
      </c>
      <c r="B384" s="55">
        <f>'ROL DE AGOSTO'!B34</f>
        <v>2023</v>
      </c>
      <c r="C384" s="4"/>
      <c r="D384" s="15"/>
    </row>
    <row r="385" spans="1:4" x14ac:dyDescent="0.3">
      <c r="A385" s="203" t="s">
        <v>94</v>
      </c>
      <c r="B385" s="204"/>
      <c r="C385" s="205" t="s">
        <v>5</v>
      </c>
      <c r="D385" s="206" t="s">
        <v>6</v>
      </c>
    </row>
    <row r="386" spans="1:4" x14ac:dyDescent="0.3">
      <c r="A386" s="18"/>
      <c r="B386" s="6"/>
      <c r="C386" s="7"/>
      <c r="D386" s="19"/>
    </row>
    <row r="387" spans="1:4" x14ac:dyDescent="0.3">
      <c r="A387" s="26" t="s">
        <v>16</v>
      </c>
      <c r="B387" s="27"/>
      <c r="C387" s="28">
        <f>'ROL DE AGOSTO'!F34</f>
        <v>500</v>
      </c>
      <c r="D387" s="29"/>
    </row>
    <row r="388" spans="1:4" x14ac:dyDescent="0.3">
      <c r="A388" s="26" t="s">
        <v>105</v>
      </c>
      <c r="B388" s="27"/>
      <c r="C388" s="28"/>
      <c r="D388" s="29"/>
    </row>
    <row r="389" spans="1:4" x14ac:dyDescent="0.3">
      <c r="A389" s="26" t="s">
        <v>8</v>
      </c>
      <c r="B389" s="27"/>
      <c r="C389" s="28"/>
      <c r="D389" s="29"/>
    </row>
    <row r="390" spans="1:4" x14ac:dyDescent="0.3">
      <c r="A390" s="26" t="s">
        <v>9</v>
      </c>
      <c r="B390" s="27"/>
      <c r="C390" s="28"/>
      <c r="D390" s="29"/>
    </row>
    <row r="391" spans="1:4" ht="24" x14ac:dyDescent="0.3">
      <c r="A391" s="26"/>
      <c r="B391" s="27" t="s">
        <v>10</v>
      </c>
      <c r="C391" s="28"/>
      <c r="D391" s="29">
        <f>'ROL DE AGOSTO'!L34</f>
        <v>47.249999999999993</v>
      </c>
    </row>
    <row r="392" spans="1:4" ht="24" x14ac:dyDescent="0.3">
      <c r="A392" s="26"/>
      <c r="B392" s="27" t="s">
        <v>11</v>
      </c>
      <c r="C392" s="28"/>
      <c r="D392" s="29">
        <f>'ROL DE AGOSTO'!O34</f>
        <v>29.04</v>
      </c>
    </row>
    <row r="393" spans="1:4" x14ac:dyDescent="0.3">
      <c r="A393" s="26"/>
      <c r="B393" s="27" t="s">
        <v>55</v>
      </c>
      <c r="C393" s="28"/>
      <c r="D393" s="29">
        <f>'ROL DE AGOSTO'!S34</f>
        <v>203.9</v>
      </c>
    </row>
    <row r="394" spans="1:4" ht="24" x14ac:dyDescent="0.3">
      <c r="A394" s="26"/>
      <c r="B394" s="27" t="s">
        <v>18</v>
      </c>
      <c r="C394" s="28"/>
      <c r="D394" s="29">
        <f>'ROL DE AGOSTO'!P34</f>
        <v>0</v>
      </c>
    </row>
    <row r="395" spans="1:4" x14ac:dyDescent="0.3">
      <c r="A395" s="207"/>
      <c r="B395" s="208" t="s">
        <v>12</v>
      </c>
      <c r="C395" s="209">
        <f>SUM(C387:C394)</f>
        <v>500</v>
      </c>
      <c r="D395" s="210">
        <f>SUM(D387:D394)</f>
        <v>280.19</v>
      </c>
    </row>
    <row r="396" spans="1:4" ht="28.2" x14ac:dyDescent="0.3">
      <c r="A396" s="21"/>
      <c r="B396" s="45"/>
      <c r="C396" s="211" t="s">
        <v>13</v>
      </c>
      <c r="D396" s="212">
        <f>+C395-D395</f>
        <v>219.81</v>
      </c>
    </row>
    <row r="397" spans="1:4" ht="15" thickBot="1" x14ac:dyDescent="0.35">
      <c r="A397" s="23"/>
      <c r="B397" s="4" t="s">
        <v>14</v>
      </c>
      <c r="C397" s="2"/>
      <c r="D397" s="24"/>
    </row>
    <row r="398" spans="1:4" x14ac:dyDescent="0.3">
      <c r="A398" s="213" t="s">
        <v>28</v>
      </c>
      <c r="B398" s="213" t="s">
        <v>93</v>
      </c>
      <c r="C398" s="348" t="s">
        <v>30</v>
      </c>
      <c r="D398" s="349"/>
    </row>
    <row r="399" spans="1:4" x14ac:dyDescent="0.3">
      <c r="A399" s="37"/>
      <c r="B399" s="34"/>
      <c r="C399" s="32"/>
      <c r="D399" s="25"/>
    </row>
    <row r="400" spans="1:4" x14ac:dyDescent="0.3">
      <c r="A400" s="37"/>
      <c r="B400" s="34"/>
      <c r="C400" s="32"/>
      <c r="D400" s="25"/>
    </row>
    <row r="401" spans="1:4" x14ac:dyDescent="0.3">
      <c r="A401" s="37"/>
      <c r="B401" s="34"/>
      <c r="C401" s="32"/>
      <c r="D401" s="25"/>
    </row>
    <row r="402" spans="1:4" x14ac:dyDescent="0.3">
      <c r="A402" s="37"/>
      <c r="B402" s="34"/>
      <c r="C402" s="32"/>
      <c r="D402" s="25"/>
    </row>
    <row r="403" spans="1:4" x14ac:dyDescent="0.3">
      <c r="A403" s="37"/>
      <c r="B403" s="34"/>
      <c r="C403" s="32"/>
      <c r="D403" s="25"/>
    </row>
    <row r="404" spans="1:4" x14ac:dyDescent="0.3">
      <c r="A404" s="38" t="s">
        <v>298</v>
      </c>
      <c r="B404" s="35" t="s">
        <v>297</v>
      </c>
      <c r="C404" s="290" t="str">
        <f>B380</f>
        <v>VILLEGAS CARVAJAL JESUS JOSE</v>
      </c>
      <c r="D404" s="291"/>
    </row>
    <row r="405" spans="1:4" ht="15" thickBot="1" x14ac:dyDescent="0.35">
      <c r="A405" s="36" t="s">
        <v>246</v>
      </c>
      <c r="B405" s="33" t="s">
        <v>299</v>
      </c>
      <c r="C405" s="353" t="str">
        <f>B381</f>
        <v>2200590038</v>
      </c>
      <c r="D405" s="354"/>
    </row>
    <row r="413" spans="1:4" ht="15" thickBot="1" x14ac:dyDescent="0.35"/>
    <row r="414" spans="1:4" x14ac:dyDescent="0.3">
      <c r="A414" s="294"/>
      <c r="B414" s="295"/>
      <c r="C414" s="295"/>
      <c r="D414" s="296"/>
    </row>
    <row r="415" spans="1:4" x14ac:dyDescent="0.3">
      <c r="A415" s="307"/>
      <c r="B415" s="308"/>
      <c r="C415" s="308"/>
      <c r="D415" s="309"/>
    </row>
    <row r="416" spans="1:4" ht="15" thickBot="1" x14ac:dyDescent="0.35">
      <c r="A416" s="307"/>
      <c r="B416" s="308"/>
      <c r="C416" s="308"/>
      <c r="D416" s="309"/>
    </row>
    <row r="417" spans="1:4" ht="25.8" thickBot="1" x14ac:dyDescent="0.35">
      <c r="A417" s="350" t="s">
        <v>0</v>
      </c>
      <c r="B417" s="351"/>
      <c r="C417" s="351"/>
      <c r="D417" s="352"/>
    </row>
    <row r="418" spans="1:4" x14ac:dyDescent="0.3">
      <c r="A418" s="11" t="s">
        <v>1</v>
      </c>
      <c r="B418" s="3" t="str">
        <f>'ROL DE AGOSTO'!D35</f>
        <v>ZAMORA MACIAS RAMON CRISTOBAL</v>
      </c>
      <c r="C418" s="3"/>
      <c r="D418" s="12"/>
    </row>
    <row r="419" spans="1:4" x14ac:dyDescent="0.3">
      <c r="A419" s="11" t="s">
        <v>2</v>
      </c>
      <c r="B419" s="55" t="str">
        <f>'ROL DE AGOSTO'!C35</f>
        <v>1500660749</v>
      </c>
      <c r="C419" s="4"/>
      <c r="D419" s="13"/>
    </row>
    <row r="420" spans="1:4" x14ac:dyDescent="0.3">
      <c r="A420" s="11" t="s">
        <v>3</v>
      </c>
      <c r="B420" s="3" t="str">
        <f>'ROL DE AGOSTO'!E35</f>
        <v>CONDUCTOR</v>
      </c>
      <c r="C420" s="4"/>
      <c r="D420" s="14"/>
    </row>
    <row r="421" spans="1:4" x14ac:dyDescent="0.3">
      <c r="A421" s="11" t="s">
        <v>26</v>
      </c>
      <c r="B421" s="3" t="str">
        <f>'ROL DE AGOSTO'!A35</f>
        <v>AGOSTO</v>
      </c>
      <c r="C421" s="4"/>
      <c r="D421" s="15"/>
    </row>
    <row r="422" spans="1:4" x14ac:dyDescent="0.3">
      <c r="A422" s="11" t="s">
        <v>99</v>
      </c>
      <c r="B422" s="55">
        <f>'ROL DE AGOSTO'!B35</f>
        <v>2023</v>
      </c>
      <c r="C422" s="4"/>
      <c r="D422" s="15"/>
    </row>
    <row r="423" spans="1:4" x14ac:dyDescent="0.3">
      <c r="A423" s="203" t="s">
        <v>94</v>
      </c>
      <c r="B423" s="204"/>
      <c r="C423" s="205" t="s">
        <v>5</v>
      </c>
      <c r="D423" s="206" t="s">
        <v>6</v>
      </c>
    </row>
    <row r="424" spans="1:4" x14ac:dyDescent="0.3">
      <c r="A424" s="18"/>
      <c r="B424" s="6"/>
      <c r="C424" s="7"/>
      <c r="D424" s="19"/>
    </row>
    <row r="425" spans="1:4" x14ac:dyDescent="0.3">
      <c r="A425" s="26" t="s">
        <v>16</v>
      </c>
      <c r="B425" s="27"/>
      <c r="C425" s="28">
        <f>'ROL DE AGOSTO'!F35</f>
        <v>614</v>
      </c>
      <c r="D425" s="29"/>
    </row>
    <row r="426" spans="1:4" x14ac:dyDescent="0.3">
      <c r="A426" s="26" t="s">
        <v>105</v>
      </c>
      <c r="B426" s="27"/>
      <c r="C426" s="28"/>
      <c r="D426" s="29"/>
    </row>
    <row r="427" spans="1:4" x14ac:dyDescent="0.3">
      <c r="A427" s="26" t="s">
        <v>8</v>
      </c>
      <c r="B427" s="27"/>
      <c r="C427" s="28"/>
      <c r="D427" s="29"/>
    </row>
    <row r="428" spans="1:4" x14ac:dyDescent="0.3">
      <c r="A428" s="26" t="s">
        <v>9</v>
      </c>
      <c r="B428" s="27"/>
      <c r="C428" s="28"/>
      <c r="D428" s="29"/>
    </row>
    <row r="429" spans="1:4" ht="24" x14ac:dyDescent="0.3">
      <c r="A429" s="26"/>
      <c r="B429" s="27" t="s">
        <v>10</v>
      </c>
      <c r="C429" s="28"/>
      <c r="D429" s="29">
        <f>'ROL DE AGOSTO'!L35</f>
        <v>58.022999999999989</v>
      </c>
    </row>
    <row r="430" spans="1:4" ht="24" x14ac:dyDescent="0.3">
      <c r="A430" s="26"/>
      <c r="B430" s="27" t="s">
        <v>11</v>
      </c>
      <c r="C430" s="28"/>
      <c r="D430" s="29">
        <f>'ROL DE AGOSTO'!O35</f>
        <v>0</v>
      </c>
    </row>
    <row r="431" spans="1:4" x14ac:dyDescent="0.3">
      <c r="A431" s="26"/>
      <c r="B431" s="27" t="s">
        <v>55</v>
      </c>
      <c r="C431" s="28"/>
      <c r="D431" s="29">
        <f>'ROL DE AGOSTO'!S35</f>
        <v>169.8</v>
      </c>
    </row>
    <row r="432" spans="1:4" ht="24" x14ac:dyDescent="0.3">
      <c r="A432" s="26"/>
      <c r="B432" s="27" t="s">
        <v>18</v>
      </c>
      <c r="C432" s="28"/>
      <c r="D432" s="29">
        <f>'ROL DE AGOSTO'!P35</f>
        <v>0</v>
      </c>
    </row>
    <row r="433" spans="1:4" x14ac:dyDescent="0.3">
      <c r="A433" s="207"/>
      <c r="B433" s="208" t="s">
        <v>12</v>
      </c>
      <c r="C433" s="209">
        <f>SUM(C425:C432)</f>
        <v>614</v>
      </c>
      <c r="D433" s="210">
        <f>SUM(D425:D432)</f>
        <v>227.82300000000001</v>
      </c>
    </row>
    <row r="434" spans="1:4" ht="28.2" x14ac:dyDescent="0.3">
      <c r="A434" s="21"/>
      <c r="B434" s="45"/>
      <c r="C434" s="211" t="s">
        <v>13</v>
      </c>
      <c r="D434" s="212">
        <f>+C433-D433</f>
        <v>386.17700000000002</v>
      </c>
    </row>
    <row r="435" spans="1:4" ht="15" thickBot="1" x14ac:dyDescent="0.35">
      <c r="A435" s="23"/>
      <c r="B435" s="4" t="s">
        <v>14</v>
      </c>
      <c r="C435" s="2"/>
      <c r="D435" s="24"/>
    </row>
    <row r="436" spans="1:4" x14ac:dyDescent="0.3">
      <c r="A436" s="213" t="s">
        <v>28</v>
      </c>
      <c r="B436" s="213" t="s">
        <v>93</v>
      </c>
      <c r="C436" s="348" t="s">
        <v>30</v>
      </c>
      <c r="D436" s="349"/>
    </row>
    <row r="437" spans="1:4" x14ac:dyDescent="0.3">
      <c r="A437" s="37"/>
      <c r="B437" s="34"/>
      <c r="C437" s="32"/>
      <c r="D437" s="2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8" t="s">
        <v>298</v>
      </c>
      <c r="B442" s="35" t="s">
        <v>297</v>
      </c>
      <c r="C442" s="290" t="str">
        <f>'ROL INDIVIDUAL'!B418</f>
        <v>ZAMORA MACIAS RAMON CRISTOBAL</v>
      </c>
      <c r="D442" s="291"/>
    </row>
    <row r="443" spans="1:4" ht="15" thickBot="1" x14ac:dyDescent="0.35">
      <c r="A443" s="36" t="s">
        <v>246</v>
      </c>
      <c r="B443" s="33" t="s">
        <v>299</v>
      </c>
      <c r="C443" s="353" t="str">
        <f>B419</f>
        <v>1500660749</v>
      </c>
      <c r="D443" s="354"/>
    </row>
    <row r="444" spans="1:4" x14ac:dyDescent="0.3">
      <c r="A444" s="214"/>
      <c r="B444" s="58"/>
      <c r="C444" s="59"/>
      <c r="D444" s="215"/>
    </row>
    <row r="445" spans="1:4" ht="15" thickBot="1" x14ac:dyDescent="0.35">
      <c r="A445" s="214"/>
      <c r="B445" s="58"/>
      <c r="C445" s="59"/>
      <c r="D445" s="215"/>
    </row>
    <row r="446" spans="1:4" x14ac:dyDescent="0.3">
      <c r="A446" s="294"/>
      <c r="B446" s="295"/>
      <c r="C446" s="295"/>
      <c r="D446" s="296"/>
    </row>
    <row r="447" spans="1:4" x14ac:dyDescent="0.3">
      <c r="A447" s="307"/>
      <c r="B447" s="308"/>
      <c r="C447" s="308"/>
      <c r="D447" s="309"/>
    </row>
    <row r="448" spans="1:4" ht="15" thickBot="1" x14ac:dyDescent="0.35">
      <c r="A448" s="307"/>
      <c r="B448" s="308"/>
      <c r="C448" s="308"/>
      <c r="D448" s="309"/>
    </row>
    <row r="449" spans="1:4" ht="25.8" thickBot="1" x14ac:dyDescent="0.35">
      <c r="A449" s="350" t="s">
        <v>0</v>
      </c>
      <c r="B449" s="351"/>
      <c r="C449" s="351"/>
      <c r="D449" s="352"/>
    </row>
    <row r="450" spans="1:4" x14ac:dyDescent="0.3">
      <c r="A450" s="11" t="s">
        <v>1</v>
      </c>
      <c r="B450" s="3" t="str">
        <f>'ROL DE AGOSTO'!D58</f>
        <v>CALAPUCHA SALAZAR DINA MAGALY</v>
      </c>
      <c r="C450" s="3"/>
      <c r="D450" s="12"/>
    </row>
    <row r="451" spans="1:4" x14ac:dyDescent="0.3">
      <c r="A451" s="11" t="s">
        <v>2</v>
      </c>
      <c r="B451" s="218">
        <f>'ROL DE AGOSTO'!C58</f>
        <v>2200446587</v>
      </c>
      <c r="C451" s="4"/>
      <c r="D451" s="13"/>
    </row>
    <row r="452" spans="1:4" x14ac:dyDescent="0.3">
      <c r="A452" s="11" t="s">
        <v>3</v>
      </c>
      <c r="B452" s="3" t="str">
        <f>'ROL DE AGOSTO'!E58</f>
        <v>ASISTENTE_ADMINISTRATIVO</v>
      </c>
      <c r="C452" s="4"/>
      <c r="D452" s="14"/>
    </row>
    <row r="453" spans="1:4" x14ac:dyDescent="0.3">
      <c r="A453" s="11" t="s">
        <v>26</v>
      </c>
      <c r="B453" s="3" t="str">
        <f>'ROL DE AGOSTO'!A60</f>
        <v>AGOSTO</v>
      </c>
      <c r="C453" s="4"/>
      <c r="D453" s="15"/>
    </row>
    <row r="454" spans="1:4" x14ac:dyDescent="0.3">
      <c r="A454" s="11" t="s">
        <v>99</v>
      </c>
      <c r="B454" s="55">
        <f>'ROL DE AGOSTO'!B58</f>
        <v>2023</v>
      </c>
      <c r="C454" s="4"/>
      <c r="D454" s="15"/>
    </row>
    <row r="455" spans="1:4" x14ac:dyDescent="0.3">
      <c r="A455" s="203" t="s">
        <v>94</v>
      </c>
      <c r="B455" s="204"/>
      <c r="C455" s="205" t="s">
        <v>5</v>
      </c>
      <c r="D455" s="206" t="s">
        <v>6</v>
      </c>
    </row>
    <row r="456" spans="1:4" x14ac:dyDescent="0.3">
      <c r="A456" s="18"/>
      <c r="B456" s="6"/>
      <c r="C456" s="7"/>
      <c r="D456" s="19"/>
    </row>
    <row r="457" spans="1:4" x14ac:dyDescent="0.3">
      <c r="A457" s="26" t="s">
        <v>16</v>
      </c>
      <c r="B457" s="27"/>
      <c r="C457" s="28">
        <f>'ROL DE AGOSTO'!H58</f>
        <v>527</v>
      </c>
      <c r="D457" s="29"/>
    </row>
    <row r="458" spans="1:4" x14ac:dyDescent="0.3">
      <c r="A458" s="26" t="s">
        <v>105</v>
      </c>
      <c r="B458" s="27"/>
      <c r="C458" s="28"/>
      <c r="D458" s="29"/>
    </row>
    <row r="459" spans="1:4" x14ac:dyDescent="0.3">
      <c r="A459" s="26" t="s">
        <v>8</v>
      </c>
      <c r="B459" s="27"/>
      <c r="C459" s="28">
        <f>'ROL DE AGOSTO'!I58</f>
        <v>43.916666666666664</v>
      </c>
      <c r="D459" s="29"/>
    </row>
    <row r="460" spans="1:4" x14ac:dyDescent="0.3">
      <c r="A460" s="26" t="s">
        <v>9</v>
      </c>
      <c r="B460" s="27"/>
      <c r="C460" s="28">
        <f>'ROL DE AGOSTO'!J58</f>
        <v>37.5</v>
      </c>
      <c r="D460" s="29"/>
    </row>
    <row r="461" spans="1:4" ht="24" x14ac:dyDescent="0.3">
      <c r="A461" s="26"/>
      <c r="B461" s="27" t="s">
        <v>10</v>
      </c>
      <c r="C461" s="28"/>
      <c r="D461" s="29">
        <f>'ROL DE AGOSTO'!L58</f>
        <v>60.341499999999996</v>
      </c>
    </row>
    <row r="462" spans="1:4" ht="24" x14ac:dyDescent="0.3">
      <c r="A462" s="26"/>
      <c r="B462" s="27" t="s">
        <v>11</v>
      </c>
      <c r="C462" s="28"/>
      <c r="D462" s="29">
        <f>'ROL DE AGOSTO'!O58</f>
        <v>0</v>
      </c>
    </row>
    <row r="463" spans="1:4" x14ac:dyDescent="0.3">
      <c r="A463" s="26"/>
      <c r="B463" s="27" t="s">
        <v>55</v>
      </c>
      <c r="C463" s="28"/>
      <c r="D463" s="29">
        <f>'ROL DE AGOSTO'!S58</f>
        <v>0</v>
      </c>
    </row>
    <row r="464" spans="1:4" ht="24" x14ac:dyDescent="0.3">
      <c r="A464" s="26"/>
      <c r="B464" s="27" t="s">
        <v>18</v>
      </c>
      <c r="C464" s="28"/>
      <c r="D464" s="29">
        <f>'ROL DE AGOSTO'!P58</f>
        <v>0</v>
      </c>
    </row>
    <row r="465" spans="1:4" x14ac:dyDescent="0.3">
      <c r="A465" s="207"/>
      <c r="B465" s="208" t="s">
        <v>12</v>
      </c>
      <c r="C465" s="209">
        <f>SUM(C457:C464)</f>
        <v>608.41666666666663</v>
      </c>
      <c r="D465" s="210">
        <f>SUM(D457:D464)</f>
        <v>60.341499999999996</v>
      </c>
    </row>
    <row r="466" spans="1:4" ht="28.2" x14ac:dyDescent="0.3">
      <c r="A466" s="21"/>
      <c r="B466" s="45"/>
      <c r="C466" s="211" t="s">
        <v>13</v>
      </c>
      <c r="D466" s="212">
        <f>+C465-D465</f>
        <v>548.07516666666663</v>
      </c>
    </row>
    <row r="467" spans="1:4" ht="15" thickBot="1" x14ac:dyDescent="0.35">
      <c r="A467" s="23"/>
      <c r="B467" s="4" t="s">
        <v>14</v>
      </c>
      <c r="C467" s="2"/>
      <c r="D467" s="24"/>
    </row>
    <row r="468" spans="1:4" x14ac:dyDescent="0.3">
      <c r="A468" s="213" t="s">
        <v>28</v>
      </c>
      <c r="B468" s="213" t="s">
        <v>93</v>
      </c>
      <c r="C468" s="348" t="s">
        <v>30</v>
      </c>
      <c r="D468" s="349"/>
    </row>
    <row r="469" spans="1:4" x14ac:dyDescent="0.3">
      <c r="A469" s="37"/>
      <c r="B469" s="34"/>
      <c r="C469" s="32"/>
      <c r="D469" s="25"/>
    </row>
    <row r="470" spans="1:4" x14ac:dyDescent="0.3">
      <c r="A470" s="37"/>
      <c r="B470" s="34"/>
      <c r="C470" s="32"/>
      <c r="D470" s="25"/>
    </row>
    <row r="471" spans="1:4" x14ac:dyDescent="0.3">
      <c r="A471" s="37"/>
      <c r="B471" s="34"/>
      <c r="C471" s="32"/>
      <c r="D471" s="25"/>
    </row>
    <row r="472" spans="1:4" x14ac:dyDescent="0.3">
      <c r="A472" s="37"/>
      <c r="B472" s="34"/>
      <c r="C472" s="32"/>
      <c r="D472" s="25"/>
    </row>
    <row r="473" spans="1:4" x14ac:dyDescent="0.3">
      <c r="A473" s="37"/>
      <c r="B473" s="34"/>
      <c r="C473" s="32"/>
      <c r="D473" s="25"/>
    </row>
    <row r="474" spans="1:4" x14ac:dyDescent="0.3">
      <c r="A474" s="38" t="s">
        <v>298</v>
      </c>
      <c r="B474" s="35" t="s">
        <v>297</v>
      </c>
      <c r="C474" s="290" t="str">
        <f>B450</f>
        <v>CALAPUCHA SALAZAR DINA MAGALY</v>
      </c>
      <c r="D474" s="291"/>
    </row>
    <row r="475" spans="1:4" ht="15" thickBot="1" x14ac:dyDescent="0.35">
      <c r="A475" s="36" t="s">
        <v>246</v>
      </c>
      <c r="B475" s="33" t="s">
        <v>299</v>
      </c>
      <c r="C475" s="353">
        <f>B451</f>
        <v>2200446587</v>
      </c>
      <c r="D475" s="354"/>
    </row>
    <row r="483" spans="1:4" ht="15" thickBot="1" x14ac:dyDescent="0.35"/>
    <row r="484" spans="1:4" x14ac:dyDescent="0.3">
      <c r="A484" s="294"/>
      <c r="B484" s="295"/>
      <c r="C484" s="295"/>
      <c r="D484" s="296"/>
    </row>
    <row r="485" spans="1:4" x14ac:dyDescent="0.3">
      <c r="A485" s="307"/>
      <c r="B485" s="308"/>
      <c r="C485" s="308"/>
      <c r="D485" s="309"/>
    </row>
    <row r="486" spans="1:4" ht="15" thickBot="1" x14ac:dyDescent="0.35">
      <c r="A486" s="307"/>
      <c r="B486" s="308"/>
      <c r="C486" s="308"/>
      <c r="D486" s="309"/>
    </row>
    <row r="487" spans="1:4" ht="25.8" thickBot="1" x14ac:dyDescent="0.35">
      <c r="A487" s="350" t="s">
        <v>0</v>
      </c>
      <c r="B487" s="351"/>
      <c r="C487" s="351"/>
      <c r="D487" s="352"/>
    </row>
    <row r="488" spans="1:4" x14ac:dyDescent="0.3">
      <c r="A488" s="11" t="s">
        <v>1</v>
      </c>
      <c r="B488" s="3" t="str">
        <f>'ROL DE AGOSTO'!D59</f>
        <v>ALARCON NARANJO PEDRO DANIEL</v>
      </c>
      <c r="C488" s="3"/>
      <c r="D488" s="12"/>
    </row>
    <row r="489" spans="1:4" x14ac:dyDescent="0.3">
      <c r="A489" s="11" t="s">
        <v>2</v>
      </c>
      <c r="B489" s="10" t="str">
        <f>'ROL DE AGOSTO'!C59</f>
        <v>0201172517</v>
      </c>
      <c r="C489" s="4"/>
      <c r="D489" s="13"/>
    </row>
    <row r="490" spans="1:4" x14ac:dyDescent="0.3">
      <c r="A490" s="11" t="s">
        <v>3</v>
      </c>
      <c r="B490" s="3" t="str">
        <f>'ROL DE AGOSTO'!E59</f>
        <v>TECNICO DE PLANIFICACION</v>
      </c>
      <c r="C490" s="4"/>
      <c r="D490" s="14"/>
    </row>
    <row r="491" spans="1:4" x14ac:dyDescent="0.3">
      <c r="A491" s="11" t="s">
        <v>26</v>
      </c>
      <c r="B491" s="3" t="str">
        <f>'ROL DE AGOSTO'!A59</f>
        <v>AGOSTO</v>
      </c>
      <c r="C491" s="4"/>
      <c r="D491" s="15"/>
    </row>
    <row r="492" spans="1:4" x14ac:dyDescent="0.3">
      <c r="A492" s="11" t="s">
        <v>99</v>
      </c>
      <c r="B492" s="55">
        <f>'ROL DE AGOSTO'!B59</f>
        <v>2023</v>
      </c>
      <c r="C492" s="4"/>
      <c r="D492" s="15"/>
    </row>
    <row r="493" spans="1:4" x14ac:dyDescent="0.3">
      <c r="A493" s="203" t="s">
        <v>94</v>
      </c>
      <c r="B493" s="204"/>
      <c r="C493" s="205" t="s">
        <v>5</v>
      </c>
      <c r="D493" s="206" t="s">
        <v>6</v>
      </c>
    </row>
    <row r="494" spans="1:4" x14ac:dyDescent="0.3">
      <c r="A494" s="18"/>
      <c r="B494" s="6"/>
      <c r="C494" s="7"/>
      <c r="D494" s="19"/>
    </row>
    <row r="495" spans="1:4" x14ac:dyDescent="0.3">
      <c r="A495" s="26" t="s">
        <v>16</v>
      </c>
      <c r="B495" s="27"/>
      <c r="C495" s="28">
        <f>'ROL DE AGOSTO'!F59</f>
        <v>1212</v>
      </c>
      <c r="D495" s="29"/>
    </row>
    <row r="496" spans="1:4" x14ac:dyDescent="0.3">
      <c r="A496" s="26" t="s">
        <v>105</v>
      </c>
      <c r="B496" s="27"/>
      <c r="C496" s="28"/>
      <c r="D496" s="29"/>
    </row>
    <row r="497" spans="1:4" x14ac:dyDescent="0.3">
      <c r="A497" s="26" t="s">
        <v>8</v>
      </c>
      <c r="B497" s="27"/>
      <c r="C497" s="28">
        <f>'ROL DE AGOSTO'!I59</f>
        <v>101</v>
      </c>
      <c r="D497" s="29"/>
    </row>
    <row r="498" spans="1:4" x14ac:dyDescent="0.3">
      <c r="A498" s="26" t="s">
        <v>9</v>
      </c>
      <c r="B498" s="27"/>
      <c r="C498" s="28">
        <f>'ROL DE AGOSTO'!J59</f>
        <v>37.5</v>
      </c>
      <c r="D498" s="29"/>
    </row>
    <row r="499" spans="1:4" ht="24" x14ac:dyDescent="0.3">
      <c r="A499" s="26"/>
      <c r="B499" s="27" t="s">
        <v>10</v>
      </c>
      <c r="C499" s="28"/>
      <c r="D499" s="29">
        <f>'ROL DE AGOSTO'!L59</f>
        <v>138.774</v>
      </c>
    </row>
    <row r="500" spans="1:4" ht="24" x14ac:dyDescent="0.3">
      <c r="A500" s="26"/>
      <c r="B500" s="27" t="s">
        <v>11</v>
      </c>
      <c r="C500" s="28"/>
      <c r="D500" s="29">
        <f>'ROL DE AGOSTO'!O59</f>
        <v>0</v>
      </c>
    </row>
    <row r="501" spans="1:4" x14ac:dyDescent="0.3">
      <c r="A501" s="26"/>
      <c r="B501" s="27" t="s">
        <v>55</v>
      </c>
      <c r="C501" s="28"/>
      <c r="D501" s="29">
        <f>'ROL DE AGOSTO'!S59</f>
        <v>18.75</v>
      </c>
    </row>
    <row r="502" spans="1:4" ht="24" x14ac:dyDescent="0.3">
      <c r="A502" s="26"/>
      <c r="B502" s="27" t="s">
        <v>18</v>
      </c>
      <c r="C502" s="28"/>
      <c r="D502" s="29">
        <f>'ROL DE AGOSTO'!P59</f>
        <v>127.91</v>
      </c>
    </row>
    <row r="503" spans="1:4" x14ac:dyDescent="0.3">
      <c r="A503" s="207"/>
      <c r="B503" s="208" t="s">
        <v>12</v>
      </c>
      <c r="C503" s="209">
        <f>SUM(C495:C502)</f>
        <v>1350.5</v>
      </c>
      <c r="D503" s="210">
        <f>SUM(D495:D502)</f>
        <v>285.43399999999997</v>
      </c>
    </row>
    <row r="504" spans="1:4" ht="28.2" x14ac:dyDescent="0.3">
      <c r="A504" s="21"/>
      <c r="B504" s="45"/>
      <c r="C504" s="211" t="s">
        <v>13</v>
      </c>
      <c r="D504" s="212">
        <f>+C503-D503</f>
        <v>1065.066</v>
      </c>
    </row>
    <row r="505" spans="1:4" ht="15" thickBot="1" x14ac:dyDescent="0.35">
      <c r="A505" s="23"/>
      <c r="B505" s="4" t="s">
        <v>14</v>
      </c>
      <c r="C505" s="2"/>
      <c r="D505" s="24"/>
    </row>
    <row r="506" spans="1:4" x14ac:dyDescent="0.3">
      <c r="A506" s="213" t="s">
        <v>28</v>
      </c>
      <c r="B506" s="213" t="s">
        <v>93</v>
      </c>
      <c r="C506" s="348" t="s">
        <v>30</v>
      </c>
      <c r="D506" s="349"/>
    </row>
    <row r="507" spans="1:4" x14ac:dyDescent="0.3">
      <c r="A507" s="37"/>
      <c r="B507" s="34"/>
      <c r="C507" s="32"/>
      <c r="D507" s="25"/>
    </row>
    <row r="508" spans="1:4" x14ac:dyDescent="0.3">
      <c r="A508" s="37"/>
      <c r="B508" s="34"/>
      <c r="C508" s="32"/>
      <c r="D508" s="25"/>
    </row>
    <row r="509" spans="1:4" x14ac:dyDescent="0.3">
      <c r="A509" s="37"/>
      <c r="B509" s="34"/>
      <c r="C509" s="32"/>
      <c r="D509" s="25"/>
    </row>
    <row r="510" spans="1:4" x14ac:dyDescent="0.3">
      <c r="A510" s="37"/>
      <c r="B510" s="34"/>
      <c r="C510" s="32"/>
      <c r="D510" s="25"/>
    </row>
    <row r="511" spans="1:4" x14ac:dyDescent="0.3">
      <c r="A511" s="37"/>
      <c r="B511" s="34"/>
      <c r="C511" s="32"/>
      <c r="D511" s="25"/>
    </row>
    <row r="512" spans="1:4" x14ac:dyDescent="0.3">
      <c r="A512" s="38" t="s">
        <v>298</v>
      </c>
      <c r="B512" s="35" t="s">
        <v>297</v>
      </c>
      <c r="C512" s="290" t="str">
        <f>'ROL INDIVIDUAL'!B488</f>
        <v>ALARCON NARANJO PEDRO DANIEL</v>
      </c>
      <c r="D512" s="291"/>
    </row>
    <row r="513" spans="1:4" ht="15" thickBot="1" x14ac:dyDescent="0.35">
      <c r="A513" s="36" t="s">
        <v>246</v>
      </c>
      <c r="B513" s="33" t="s">
        <v>299</v>
      </c>
      <c r="C513" s="353" t="str">
        <f>B489</f>
        <v>0201172517</v>
      </c>
      <c r="D513" s="354"/>
    </row>
    <row r="514" spans="1:4" x14ac:dyDescent="0.3">
      <c r="A514" s="214"/>
      <c r="B514" s="58"/>
      <c r="C514" s="59"/>
      <c r="D514" s="215"/>
    </row>
    <row r="515" spans="1:4" ht="15" thickBot="1" x14ac:dyDescent="0.35">
      <c r="A515" s="214"/>
      <c r="B515" s="58"/>
      <c r="C515" s="59"/>
      <c r="D515" s="215"/>
    </row>
    <row r="516" spans="1:4" x14ac:dyDescent="0.3">
      <c r="A516" s="294"/>
      <c r="B516" s="295"/>
      <c r="C516" s="295"/>
      <c r="D516" s="296"/>
    </row>
    <row r="517" spans="1:4" x14ac:dyDescent="0.3">
      <c r="A517" s="307"/>
      <c r="B517" s="308"/>
      <c r="C517" s="308"/>
      <c r="D517" s="309"/>
    </row>
    <row r="518" spans="1:4" ht="15" thickBot="1" x14ac:dyDescent="0.35">
      <c r="A518" s="307"/>
      <c r="B518" s="308"/>
      <c r="C518" s="308"/>
      <c r="D518" s="309"/>
    </row>
    <row r="519" spans="1:4" ht="25.8" thickBot="1" x14ac:dyDescent="0.35">
      <c r="A519" s="350" t="s">
        <v>0</v>
      </c>
      <c r="B519" s="351"/>
      <c r="C519" s="351"/>
      <c r="D519" s="352"/>
    </row>
    <row r="520" spans="1:4" x14ac:dyDescent="0.3">
      <c r="A520" s="11" t="s">
        <v>1</v>
      </c>
      <c r="B520" s="3" t="str">
        <f>'ROL SEP'!D62</f>
        <v>TAPUYLICUY LUZ MARIA</v>
      </c>
      <c r="C520" s="3"/>
      <c r="D520" s="12"/>
    </row>
    <row r="521" spans="1:4" x14ac:dyDescent="0.3">
      <c r="A521" s="11" t="s">
        <v>2</v>
      </c>
      <c r="B521" s="10" t="str">
        <f>'ROL SEP'!C62</f>
        <v>1500798028</v>
      </c>
      <c r="C521" s="4"/>
      <c r="D521" s="13"/>
    </row>
    <row r="522" spans="1:4" x14ac:dyDescent="0.3">
      <c r="A522" s="11" t="s">
        <v>3</v>
      </c>
      <c r="B522" s="3" t="str">
        <f>'ROL SEP'!E62</f>
        <v>PROMOTOR AGRICOLA</v>
      </c>
      <c r="C522" s="4"/>
      <c r="D522" s="14"/>
    </row>
    <row r="523" spans="1:4" x14ac:dyDescent="0.3">
      <c r="A523" s="11" t="s">
        <v>26</v>
      </c>
      <c r="B523" s="3" t="str">
        <f>'ROL SEP'!A62</f>
        <v>SEPTIEMBRE</v>
      </c>
      <c r="C523" s="4"/>
      <c r="D523" s="15"/>
    </row>
    <row r="524" spans="1:4" x14ac:dyDescent="0.3">
      <c r="A524" s="11" t="s">
        <v>99</v>
      </c>
      <c r="B524" s="55">
        <f>'ROL SEP'!B62</f>
        <v>2023</v>
      </c>
      <c r="C524" s="4"/>
      <c r="D524" s="15"/>
    </row>
    <row r="525" spans="1:4" x14ac:dyDescent="0.3">
      <c r="A525" s="203" t="s">
        <v>94</v>
      </c>
      <c r="B525" s="204"/>
      <c r="C525" s="205" t="s">
        <v>5</v>
      </c>
      <c r="D525" s="206" t="s">
        <v>6</v>
      </c>
    </row>
    <row r="526" spans="1:4" x14ac:dyDescent="0.3">
      <c r="A526" s="18"/>
      <c r="B526" s="6"/>
      <c r="C526" s="7"/>
      <c r="D526" s="19"/>
    </row>
    <row r="527" spans="1:4" x14ac:dyDescent="0.3">
      <c r="A527" s="26" t="s">
        <v>16</v>
      </c>
      <c r="B527" s="27"/>
      <c r="C527" s="28">
        <f>'ROL SEP'!F62</f>
        <v>500</v>
      </c>
      <c r="D527" s="29"/>
    </row>
    <row r="528" spans="1:4" x14ac:dyDescent="0.3">
      <c r="A528" s="26" t="s">
        <v>105</v>
      </c>
      <c r="B528" s="27"/>
      <c r="C528" s="28"/>
      <c r="D528" s="29"/>
    </row>
    <row r="529" spans="1:4" x14ac:dyDescent="0.3">
      <c r="A529" s="26" t="s">
        <v>8</v>
      </c>
      <c r="B529" s="27"/>
      <c r="C529" s="28"/>
      <c r="D529" s="29"/>
    </row>
    <row r="530" spans="1:4" x14ac:dyDescent="0.3">
      <c r="A530" s="26" t="s">
        <v>9</v>
      </c>
      <c r="B530" s="27"/>
      <c r="C530" s="28"/>
      <c r="D530" s="29"/>
    </row>
    <row r="531" spans="1:4" ht="24" x14ac:dyDescent="0.3">
      <c r="A531" s="26"/>
      <c r="B531" s="27" t="s">
        <v>10</v>
      </c>
      <c r="C531" s="28"/>
      <c r="D531" s="29">
        <f>'ROL SEP'!L62</f>
        <v>57.249999999999993</v>
      </c>
    </row>
    <row r="532" spans="1:4" ht="24" x14ac:dyDescent="0.3">
      <c r="A532" s="26"/>
      <c r="B532" s="27" t="s">
        <v>11</v>
      </c>
      <c r="C532" s="28"/>
      <c r="D532" s="29">
        <f>'ROL SEP'!O62</f>
        <v>0</v>
      </c>
    </row>
    <row r="533" spans="1:4" x14ac:dyDescent="0.3">
      <c r="A533" s="26"/>
      <c r="B533" s="27" t="s">
        <v>55</v>
      </c>
      <c r="C533" s="28"/>
      <c r="D533" s="29">
        <f>'ROL SEP'!S62</f>
        <v>0</v>
      </c>
    </row>
    <row r="534" spans="1:4" ht="24" x14ac:dyDescent="0.3">
      <c r="A534" s="26"/>
      <c r="B534" s="27" t="s">
        <v>18</v>
      </c>
      <c r="C534" s="28"/>
      <c r="D534" s="29">
        <f>'ROL SEP'!P62</f>
        <v>0</v>
      </c>
    </row>
    <row r="535" spans="1:4" x14ac:dyDescent="0.3">
      <c r="A535" s="207"/>
      <c r="B535" s="208" t="s">
        <v>12</v>
      </c>
      <c r="C535" s="209">
        <f>SUM(C527:C534)</f>
        <v>500</v>
      </c>
      <c r="D535" s="210">
        <f>SUM(D527:D534)</f>
        <v>57.249999999999993</v>
      </c>
    </row>
    <row r="536" spans="1:4" ht="28.2" x14ac:dyDescent="0.3">
      <c r="A536" s="21"/>
      <c r="B536" s="45"/>
      <c r="C536" s="211" t="s">
        <v>13</v>
      </c>
      <c r="D536" s="212">
        <f>+C535-D535</f>
        <v>442.75</v>
      </c>
    </row>
    <row r="537" spans="1:4" ht="15" thickBot="1" x14ac:dyDescent="0.35">
      <c r="A537" s="23"/>
      <c r="B537" s="4" t="s">
        <v>14</v>
      </c>
      <c r="C537" s="2"/>
      <c r="D537" s="24"/>
    </row>
    <row r="538" spans="1:4" x14ac:dyDescent="0.3">
      <c r="A538" s="213" t="s">
        <v>28</v>
      </c>
      <c r="B538" s="213" t="s">
        <v>93</v>
      </c>
      <c r="C538" s="348" t="s">
        <v>30</v>
      </c>
      <c r="D538" s="349"/>
    </row>
    <row r="539" spans="1:4" x14ac:dyDescent="0.3">
      <c r="A539" s="37"/>
      <c r="B539" s="34"/>
      <c r="C539" s="32"/>
      <c r="D539" s="25"/>
    </row>
    <row r="540" spans="1:4" x14ac:dyDescent="0.3">
      <c r="A540" s="37"/>
      <c r="B540" s="34"/>
      <c r="C540" s="32"/>
      <c r="D540" s="25"/>
    </row>
    <row r="541" spans="1:4" x14ac:dyDescent="0.3">
      <c r="A541" s="37"/>
      <c r="B541" s="34"/>
      <c r="C541" s="32"/>
      <c r="D541" s="25"/>
    </row>
    <row r="542" spans="1:4" x14ac:dyDescent="0.3">
      <c r="A542" s="37"/>
      <c r="B542" s="34"/>
      <c r="C542" s="32"/>
      <c r="D542" s="25"/>
    </row>
    <row r="543" spans="1:4" x14ac:dyDescent="0.3">
      <c r="A543" s="37"/>
      <c r="B543" s="34"/>
      <c r="C543" s="32"/>
      <c r="D543" s="25"/>
    </row>
    <row r="544" spans="1:4" x14ac:dyDescent="0.3">
      <c r="A544" s="38" t="s">
        <v>298</v>
      </c>
      <c r="B544" s="35" t="s">
        <v>297</v>
      </c>
      <c r="C544" s="290" t="str">
        <f>B520</f>
        <v>TAPUYLICUY LUZ MARIA</v>
      </c>
      <c r="D544" s="291"/>
    </row>
    <row r="545" spans="1:4" ht="15" thickBot="1" x14ac:dyDescent="0.35">
      <c r="A545" s="36" t="s">
        <v>246</v>
      </c>
      <c r="B545" s="33" t="s">
        <v>299</v>
      </c>
      <c r="C545" s="353" t="str">
        <f>B521</f>
        <v>1500798028</v>
      </c>
      <c r="D545" s="354"/>
    </row>
    <row r="553" spans="1:4" ht="15" thickBot="1" x14ac:dyDescent="0.35"/>
    <row r="554" spans="1:4" x14ac:dyDescent="0.3">
      <c r="A554" s="294"/>
      <c r="B554" s="295"/>
      <c r="C554" s="295"/>
      <c r="D554" s="296"/>
    </row>
    <row r="555" spans="1:4" x14ac:dyDescent="0.3">
      <c r="A555" s="307"/>
      <c r="B555" s="308"/>
      <c r="C555" s="308"/>
      <c r="D555" s="309"/>
    </row>
    <row r="556" spans="1:4" ht="15" thickBot="1" x14ac:dyDescent="0.35">
      <c r="A556" s="307"/>
      <c r="B556" s="308"/>
      <c r="C556" s="308"/>
      <c r="D556" s="309"/>
    </row>
    <row r="557" spans="1:4" ht="25.8" thickBot="1" x14ac:dyDescent="0.35">
      <c r="A557" s="350" t="s">
        <v>0</v>
      </c>
      <c r="B557" s="351"/>
      <c r="C557" s="351"/>
      <c r="D557" s="352"/>
    </row>
    <row r="558" spans="1:4" x14ac:dyDescent="0.3">
      <c r="A558" s="11" t="s">
        <v>1</v>
      </c>
      <c r="B558" s="3" t="str">
        <f>'ROL SEP'!D36</f>
        <v>GREFA CUJI EDGAR OMAR</v>
      </c>
      <c r="C558" s="3"/>
      <c r="D558" s="12"/>
    </row>
    <row r="559" spans="1:4" x14ac:dyDescent="0.3">
      <c r="A559" s="11" t="s">
        <v>2</v>
      </c>
      <c r="B559" s="10" t="str">
        <f>'ROL SEP'!C36</f>
        <v>2200534663</v>
      </c>
      <c r="C559" s="4"/>
      <c r="D559" s="13"/>
    </row>
    <row r="560" spans="1:4" x14ac:dyDescent="0.3">
      <c r="A560" s="11" t="s">
        <v>3</v>
      </c>
      <c r="B560" s="3" t="str">
        <f>'ROL SEP'!E36</f>
        <v>OPERADOR DE RODILLO</v>
      </c>
      <c r="C560" s="4"/>
      <c r="D560" s="14"/>
    </row>
    <row r="561" spans="1:4" x14ac:dyDescent="0.3">
      <c r="A561" s="11" t="s">
        <v>26</v>
      </c>
      <c r="B561" s="3" t="str">
        <f>'ROL SEP'!A36</f>
        <v>SEPTIEMBRE</v>
      </c>
      <c r="C561" s="4"/>
      <c r="D561" s="15"/>
    </row>
    <row r="562" spans="1:4" x14ac:dyDescent="0.3">
      <c r="A562" s="11" t="s">
        <v>99</v>
      </c>
      <c r="B562" s="55">
        <f>'ROL SEP'!B36</f>
        <v>2023</v>
      </c>
      <c r="C562" s="4"/>
      <c r="D562" s="15"/>
    </row>
    <row r="563" spans="1:4" x14ac:dyDescent="0.3">
      <c r="A563" s="203" t="s">
        <v>94</v>
      </c>
      <c r="B563" s="204"/>
      <c r="C563" s="205" t="s">
        <v>5</v>
      </c>
      <c r="D563" s="206" t="s">
        <v>6</v>
      </c>
    </row>
    <row r="564" spans="1:4" x14ac:dyDescent="0.3">
      <c r="A564" s="18"/>
      <c r="B564" s="6"/>
      <c r="C564" s="7"/>
      <c r="D564" s="19"/>
    </row>
    <row r="565" spans="1:4" x14ac:dyDescent="0.3">
      <c r="A565" s="26" t="s">
        <v>16</v>
      </c>
      <c r="B565" s="27"/>
      <c r="C565" s="28">
        <f>'ROL SEP'!F36</f>
        <v>708</v>
      </c>
      <c r="D565" s="29"/>
    </row>
    <row r="566" spans="1:4" x14ac:dyDescent="0.3">
      <c r="A566" s="26" t="s">
        <v>105</v>
      </c>
      <c r="B566" s="27"/>
      <c r="C566" s="28"/>
      <c r="D566" s="29"/>
    </row>
    <row r="567" spans="1:4" x14ac:dyDescent="0.3">
      <c r="A567" s="26" t="s">
        <v>8</v>
      </c>
      <c r="B567" s="27"/>
      <c r="C567" s="28"/>
      <c r="D567" s="29"/>
    </row>
    <row r="568" spans="1:4" x14ac:dyDescent="0.3">
      <c r="A568" s="26" t="s">
        <v>9</v>
      </c>
      <c r="B568" s="27"/>
      <c r="C568" s="28"/>
      <c r="D568" s="29"/>
    </row>
    <row r="569" spans="1:4" ht="24" x14ac:dyDescent="0.3">
      <c r="A569" s="26"/>
      <c r="B569" s="27" t="s">
        <v>10</v>
      </c>
      <c r="C569" s="28"/>
      <c r="D569" s="29">
        <f>'ROL SEP'!L36</f>
        <v>66.905999999999992</v>
      </c>
    </row>
    <row r="570" spans="1:4" ht="24" x14ac:dyDescent="0.3">
      <c r="A570" s="26"/>
      <c r="B570" s="27" t="s">
        <v>11</v>
      </c>
      <c r="C570" s="28"/>
      <c r="D570" s="29">
        <f>'ROL SEP'!O36</f>
        <v>0</v>
      </c>
    </row>
    <row r="571" spans="1:4" x14ac:dyDescent="0.3">
      <c r="A571" s="26"/>
      <c r="B571" s="27" t="s">
        <v>55</v>
      </c>
      <c r="C571" s="28"/>
      <c r="D571" s="29">
        <f>'ROL SEP'!S36</f>
        <v>0</v>
      </c>
    </row>
    <row r="572" spans="1:4" ht="24" x14ac:dyDescent="0.3">
      <c r="A572" s="26"/>
      <c r="B572" s="27" t="s">
        <v>18</v>
      </c>
      <c r="C572" s="28"/>
      <c r="D572" s="29">
        <f>'ROL SEP'!P36</f>
        <v>0</v>
      </c>
    </row>
    <row r="573" spans="1:4" x14ac:dyDescent="0.3">
      <c r="A573" s="207"/>
      <c r="B573" s="208" t="s">
        <v>12</v>
      </c>
      <c r="C573" s="209">
        <f>SUM(C565:C572)</f>
        <v>708</v>
      </c>
      <c r="D573" s="210">
        <f>SUM(D565:D572)</f>
        <v>66.905999999999992</v>
      </c>
    </row>
    <row r="574" spans="1:4" ht="28.2" x14ac:dyDescent="0.3">
      <c r="A574" s="21"/>
      <c r="B574" s="45"/>
      <c r="C574" s="211" t="s">
        <v>13</v>
      </c>
      <c r="D574" s="212">
        <f>+C573-D573</f>
        <v>641.09400000000005</v>
      </c>
    </row>
    <row r="575" spans="1:4" ht="15" thickBot="1" x14ac:dyDescent="0.35">
      <c r="A575" s="23"/>
      <c r="B575" s="4" t="s">
        <v>14</v>
      </c>
      <c r="C575" s="2"/>
      <c r="D575" s="24"/>
    </row>
    <row r="576" spans="1:4" x14ac:dyDescent="0.3">
      <c r="A576" s="213" t="s">
        <v>28</v>
      </c>
      <c r="B576" s="213" t="s">
        <v>93</v>
      </c>
      <c r="C576" s="348" t="s">
        <v>30</v>
      </c>
      <c r="D576" s="349"/>
    </row>
    <row r="577" spans="1:4" x14ac:dyDescent="0.3">
      <c r="A577" s="37"/>
      <c r="B577" s="34"/>
      <c r="C577" s="32"/>
      <c r="D577" s="25"/>
    </row>
    <row r="578" spans="1:4" x14ac:dyDescent="0.3">
      <c r="A578" s="37"/>
      <c r="B578" s="34"/>
      <c r="C578" s="32"/>
      <c r="D578" s="25"/>
    </row>
    <row r="579" spans="1:4" x14ac:dyDescent="0.3">
      <c r="A579" s="37"/>
      <c r="B579" s="34"/>
      <c r="C579" s="32"/>
      <c r="D579" s="25"/>
    </row>
    <row r="580" spans="1:4" x14ac:dyDescent="0.3">
      <c r="A580" s="37"/>
      <c r="B580" s="34"/>
      <c r="C580" s="32"/>
      <c r="D580" s="25"/>
    </row>
    <row r="581" spans="1:4" x14ac:dyDescent="0.3">
      <c r="A581" s="37"/>
      <c r="B581" s="34"/>
      <c r="C581" s="32"/>
      <c r="D581" s="25"/>
    </row>
    <row r="582" spans="1:4" x14ac:dyDescent="0.3">
      <c r="A582" s="38" t="s">
        <v>298</v>
      </c>
      <c r="B582" s="35" t="s">
        <v>297</v>
      </c>
      <c r="C582" s="290" t="str">
        <f>B558</f>
        <v>GREFA CUJI EDGAR OMAR</v>
      </c>
      <c r="D582" s="291"/>
    </row>
    <row r="583" spans="1:4" ht="15" thickBot="1" x14ac:dyDescent="0.35">
      <c r="A583" s="36" t="s">
        <v>246</v>
      </c>
      <c r="B583" s="33" t="s">
        <v>299</v>
      </c>
      <c r="C583" s="353" t="str">
        <f>B559</f>
        <v>2200534663</v>
      </c>
      <c r="D583" s="354"/>
    </row>
    <row r="584" spans="1:4" x14ac:dyDescent="0.3">
      <c r="A584" s="214"/>
      <c r="B584" s="58"/>
      <c r="C584" s="59"/>
      <c r="D584" s="215"/>
    </row>
    <row r="585" spans="1:4" ht="15" thickBot="1" x14ac:dyDescent="0.35">
      <c r="A585" s="214"/>
      <c r="B585" s="58"/>
      <c r="C585" s="59"/>
      <c r="D585" s="215"/>
    </row>
    <row r="586" spans="1:4" x14ac:dyDescent="0.3">
      <c r="A586" s="294"/>
      <c r="B586" s="295"/>
      <c r="C586" s="295"/>
      <c r="D586" s="296"/>
    </row>
    <row r="587" spans="1:4" x14ac:dyDescent="0.3">
      <c r="A587" s="307"/>
      <c r="B587" s="308"/>
      <c r="C587" s="308"/>
      <c r="D587" s="309"/>
    </row>
    <row r="588" spans="1:4" ht="15" thickBot="1" x14ac:dyDescent="0.35">
      <c r="A588" s="307"/>
      <c r="B588" s="308"/>
      <c r="C588" s="308"/>
      <c r="D588" s="309"/>
    </row>
    <row r="589" spans="1:4" ht="25.8" thickBot="1" x14ac:dyDescent="0.35">
      <c r="A589" s="350" t="s">
        <v>0</v>
      </c>
      <c r="B589" s="351"/>
      <c r="C589" s="351"/>
      <c r="D589" s="352"/>
    </row>
    <row r="590" spans="1:4" x14ac:dyDescent="0.3">
      <c r="A590" s="11" t="s">
        <v>1</v>
      </c>
      <c r="B590" s="3" t="str">
        <f>'ROL SEP'!D37</f>
        <v>VAICILLA SANCHEZ VICTOR ERICK</v>
      </c>
      <c r="C590" s="3"/>
      <c r="D590" s="12"/>
    </row>
    <row r="591" spans="1:4" x14ac:dyDescent="0.3">
      <c r="A591" s="11" t="s">
        <v>2</v>
      </c>
      <c r="B591" s="218">
        <f>'ROL SEP'!C37</f>
        <v>2100854088</v>
      </c>
      <c r="C591" s="4"/>
      <c r="D591" s="13"/>
    </row>
    <row r="592" spans="1:4" x14ac:dyDescent="0.3">
      <c r="A592" s="11" t="s">
        <v>3</v>
      </c>
      <c r="B592" s="3" t="str">
        <f>'ROL SEP'!E37</f>
        <v>CONDUCTOR</v>
      </c>
      <c r="C592" s="4"/>
      <c r="D592" s="14"/>
    </row>
    <row r="593" spans="1:4" x14ac:dyDescent="0.3">
      <c r="A593" s="11" t="s">
        <v>26</v>
      </c>
      <c r="B593" s="3" t="str">
        <f>'ROL SEP'!A37</f>
        <v>SEPTIEMBRE</v>
      </c>
      <c r="C593" s="4"/>
      <c r="D593" s="15"/>
    </row>
    <row r="594" spans="1:4" x14ac:dyDescent="0.3">
      <c r="A594" s="11" t="s">
        <v>99</v>
      </c>
      <c r="B594" s="55">
        <f>'ROL SEP'!B37</f>
        <v>2023</v>
      </c>
      <c r="C594" s="4"/>
      <c r="D594" s="15"/>
    </row>
    <row r="595" spans="1:4" x14ac:dyDescent="0.3">
      <c r="A595" s="203" t="s">
        <v>94</v>
      </c>
      <c r="B595" s="204"/>
      <c r="C595" s="205" t="s">
        <v>5</v>
      </c>
      <c r="D595" s="206" t="s">
        <v>6</v>
      </c>
    </row>
    <row r="596" spans="1:4" x14ac:dyDescent="0.3">
      <c r="A596" s="18"/>
      <c r="B596" s="6"/>
      <c r="C596" s="7"/>
      <c r="D596" s="19"/>
    </row>
    <row r="597" spans="1:4" x14ac:dyDescent="0.3">
      <c r="A597" s="26" t="s">
        <v>16</v>
      </c>
      <c r="B597" s="27"/>
      <c r="C597" s="28">
        <f>'ROL SEP'!F37</f>
        <v>566</v>
      </c>
      <c r="D597" s="29"/>
    </row>
    <row r="598" spans="1:4" x14ac:dyDescent="0.3">
      <c r="A598" s="26" t="s">
        <v>105</v>
      </c>
      <c r="B598" s="27"/>
      <c r="C598" s="28"/>
      <c r="D598" s="29"/>
    </row>
    <row r="599" spans="1:4" x14ac:dyDescent="0.3">
      <c r="A599" s="26" t="s">
        <v>8</v>
      </c>
      <c r="B599" s="27"/>
      <c r="C599" s="28"/>
      <c r="D599" s="29"/>
    </row>
    <row r="600" spans="1:4" x14ac:dyDescent="0.3">
      <c r="A600" s="26" t="s">
        <v>9</v>
      </c>
      <c r="B600" s="27"/>
      <c r="C600" s="28"/>
      <c r="D600" s="29"/>
    </row>
    <row r="601" spans="1:4" ht="24" x14ac:dyDescent="0.3">
      <c r="A601" s="26"/>
      <c r="B601" s="27" t="s">
        <v>10</v>
      </c>
      <c r="C601" s="28"/>
      <c r="D601" s="29">
        <f>'ROL SEP'!L37</f>
        <v>48.138299999999994</v>
      </c>
    </row>
    <row r="602" spans="1:4" ht="24" x14ac:dyDescent="0.3">
      <c r="A602" s="26"/>
      <c r="B602" s="27" t="s">
        <v>11</v>
      </c>
      <c r="C602" s="28"/>
      <c r="D602" s="29">
        <f>'ROL SEP'!O37</f>
        <v>0</v>
      </c>
    </row>
    <row r="603" spans="1:4" x14ac:dyDescent="0.3">
      <c r="A603" s="26"/>
      <c r="B603" s="27" t="s">
        <v>55</v>
      </c>
      <c r="C603" s="28"/>
      <c r="D603" s="29">
        <f>'ROL SEP'!S37</f>
        <v>0</v>
      </c>
    </row>
    <row r="604" spans="1:4" ht="24" x14ac:dyDescent="0.3">
      <c r="A604" s="26"/>
      <c r="B604" s="27" t="s">
        <v>18</v>
      </c>
      <c r="C604" s="28"/>
      <c r="D604" s="29">
        <f>'ROL SEP'!P37</f>
        <v>130</v>
      </c>
    </row>
    <row r="605" spans="1:4" x14ac:dyDescent="0.3">
      <c r="A605" s="207"/>
      <c r="B605" s="208" t="s">
        <v>12</v>
      </c>
      <c r="C605" s="209">
        <f>SUM(C597:C604)</f>
        <v>566</v>
      </c>
      <c r="D605" s="210">
        <f>SUM(D597:D604)</f>
        <v>178.13829999999999</v>
      </c>
    </row>
    <row r="606" spans="1:4" ht="28.2" x14ac:dyDescent="0.3">
      <c r="A606" s="21"/>
      <c r="B606" s="45"/>
      <c r="C606" s="211" t="s">
        <v>13</v>
      </c>
      <c r="D606" s="212">
        <f>+C605-D605</f>
        <v>387.86170000000004</v>
      </c>
    </row>
    <row r="607" spans="1:4" ht="15" thickBot="1" x14ac:dyDescent="0.35">
      <c r="A607" s="23"/>
      <c r="B607" s="4" t="s">
        <v>14</v>
      </c>
      <c r="C607" s="2"/>
      <c r="D607" s="24"/>
    </row>
    <row r="608" spans="1:4" x14ac:dyDescent="0.3">
      <c r="A608" s="213" t="s">
        <v>28</v>
      </c>
      <c r="B608" s="213" t="s">
        <v>93</v>
      </c>
      <c r="C608" s="348" t="s">
        <v>30</v>
      </c>
      <c r="D608" s="349"/>
    </row>
    <row r="609" spans="1:4" x14ac:dyDescent="0.3">
      <c r="A609" s="37"/>
      <c r="B609" s="34"/>
      <c r="C609" s="32"/>
      <c r="D609" s="25"/>
    </row>
    <row r="610" spans="1:4" x14ac:dyDescent="0.3">
      <c r="A610" s="37"/>
      <c r="B610" s="34"/>
      <c r="C610" s="32"/>
      <c r="D610" s="25"/>
    </row>
    <row r="611" spans="1:4" x14ac:dyDescent="0.3">
      <c r="A611" s="37"/>
      <c r="B611" s="34"/>
      <c r="C611" s="32"/>
      <c r="D611" s="25"/>
    </row>
    <row r="612" spans="1:4" x14ac:dyDescent="0.3">
      <c r="A612" s="37"/>
      <c r="B612" s="34"/>
      <c r="C612" s="32"/>
      <c r="D612" s="25"/>
    </row>
    <row r="613" spans="1:4" x14ac:dyDescent="0.3">
      <c r="A613" s="37"/>
      <c r="B613" s="34"/>
      <c r="C613" s="32"/>
      <c r="D613" s="25"/>
    </row>
    <row r="614" spans="1:4" x14ac:dyDescent="0.3">
      <c r="A614" s="38" t="s">
        <v>298</v>
      </c>
      <c r="B614" s="35" t="s">
        <v>297</v>
      </c>
      <c r="C614" s="290" t="str">
        <f>B590</f>
        <v>VAICILLA SANCHEZ VICTOR ERICK</v>
      </c>
      <c r="D614" s="291"/>
    </row>
    <row r="615" spans="1:4" ht="15" thickBot="1" x14ac:dyDescent="0.35">
      <c r="A615" s="36" t="s">
        <v>246</v>
      </c>
      <c r="B615" s="33" t="s">
        <v>299</v>
      </c>
      <c r="C615" s="353">
        <f>B591</f>
        <v>2100854088</v>
      </c>
      <c r="D615" s="354"/>
    </row>
  </sheetData>
  <mergeCells count="90">
    <mergeCell ref="C615:D615"/>
    <mergeCell ref="C544:D544"/>
    <mergeCell ref="C545:D545"/>
    <mergeCell ref="A554:D556"/>
    <mergeCell ref="A557:D557"/>
    <mergeCell ref="C576:D576"/>
    <mergeCell ref="C582:D582"/>
    <mergeCell ref="C583:D583"/>
    <mergeCell ref="A586:D588"/>
    <mergeCell ref="A589:D589"/>
    <mergeCell ref="C608:D608"/>
    <mergeCell ref="C614:D614"/>
    <mergeCell ref="C538:D538"/>
    <mergeCell ref="A449:D449"/>
    <mergeCell ref="C468:D468"/>
    <mergeCell ref="C474:D474"/>
    <mergeCell ref="C475:D475"/>
    <mergeCell ref="A484:D486"/>
    <mergeCell ref="A487:D487"/>
    <mergeCell ref="C506:D506"/>
    <mergeCell ref="C512:D512"/>
    <mergeCell ref="C513:D513"/>
    <mergeCell ref="A516:D518"/>
    <mergeCell ref="A519:D519"/>
    <mergeCell ref="A446:D448"/>
    <mergeCell ref="C373:D373"/>
    <mergeCell ref="A376:D378"/>
    <mergeCell ref="A379:D379"/>
    <mergeCell ref="C398:D398"/>
    <mergeCell ref="C404:D404"/>
    <mergeCell ref="C405:D405"/>
    <mergeCell ref="A414:D416"/>
    <mergeCell ref="A417:D417"/>
    <mergeCell ref="C436:D436"/>
    <mergeCell ref="C442:D442"/>
    <mergeCell ref="C443:D443"/>
    <mergeCell ref="C372:D372"/>
    <mergeCell ref="C296:D296"/>
    <mergeCell ref="C302:D302"/>
    <mergeCell ref="C303:D303"/>
    <mergeCell ref="A306:D308"/>
    <mergeCell ref="A309:D309"/>
    <mergeCell ref="C328:D328"/>
    <mergeCell ref="C334:D334"/>
    <mergeCell ref="C335:D335"/>
    <mergeCell ref="A344:D346"/>
    <mergeCell ref="A347:D347"/>
    <mergeCell ref="C366:D366"/>
    <mergeCell ref="A277:D277"/>
    <mergeCell ref="A204:D206"/>
    <mergeCell ref="A207:D207"/>
    <mergeCell ref="C226:D226"/>
    <mergeCell ref="C232:D232"/>
    <mergeCell ref="C233:D233"/>
    <mergeCell ref="A236:D238"/>
    <mergeCell ref="A239:D239"/>
    <mergeCell ref="C258:D258"/>
    <mergeCell ref="C264:D264"/>
    <mergeCell ref="C265:D265"/>
    <mergeCell ref="A274:D276"/>
    <mergeCell ref="C195:D195"/>
    <mergeCell ref="C129:D129"/>
    <mergeCell ref="C130:D130"/>
    <mergeCell ref="A134:D136"/>
    <mergeCell ref="A137:D137"/>
    <mergeCell ref="C156:D156"/>
    <mergeCell ref="C162:D162"/>
    <mergeCell ref="C163:D163"/>
    <mergeCell ref="A166:D168"/>
    <mergeCell ref="A169:D169"/>
    <mergeCell ref="C188:D188"/>
    <mergeCell ref="C194:D194"/>
    <mergeCell ref="C123:D123"/>
    <mergeCell ref="A36:D36"/>
    <mergeCell ref="C55:D55"/>
    <mergeCell ref="C61:D61"/>
    <mergeCell ref="C62:D62"/>
    <mergeCell ref="A69:D71"/>
    <mergeCell ref="A72:D72"/>
    <mergeCell ref="C91:D91"/>
    <mergeCell ref="C97:D97"/>
    <mergeCell ref="C98:D98"/>
    <mergeCell ref="A101:D103"/>
    <mergeCell ref="A104:D104"/>
    <mergeCell ref="A33:D35"/>
    <mergeCell ref="A1:D3"/>
    <mergeCell ref="A4:D4"/>
    <mergeCell ref="C23:D23"/>
    <mergeCell ref="C29:D29"/>
    <mergeCell ref="C30:D30"/>
  </mergeCells>
  <pageMargins left="0.7" right="0.7" top="0.75" bottom="0.75" header="0.3" footer="0.3"/>
  <pageSetup paperSize="9" scale="85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6" zoomScale="83" zoomScaleNormal="83" workbookViewId="0">
      <selection activeCell="J22" sqref="A5:P40"/>
    </sheetView>
  </sheetViews>
  <sheetFormatPr baseColWidth="10" defaultRowHeight="15.6" x14ac:dyDescent="0.3"/>
  <cols>
    <col min="1" max="1" width="4" customWidth="1"/>
    <col min="2" max="2" width="15.21875" customWidth="1"/>
    <col min="3" max="3" width="33.109375" customWidth="1"/>
    <col min="4" max="4" width="33.33203125" customWidth="1"/>
    <col min="5" max="5" width="18.109375" customWidth="1"/>
    <col min="6" max="6" width="10.44140625" customWidth="1"/>
    <col min="7" max="7" width="8.33203125" customWidth="1"/>
    <col min="8" max="12" width="10.44140625" customWidth="1"/>
    <col min="13" max="13" width="19.33203125" customWidth="1"/>
    <col min="14" max="14" width="24" customWidth="1"/>
    <col min="15" max="15" width="15.5546875" style="123" customWidth="1"/>
    <col min="16" max="16" width="16.33203125" style="126" customWidth="1"/>
  </cols>
  <sheetData>
    <row r="1" spans="1:16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190"/>
    </row>
    <row r="2" spans="1:16" ht="15.6" customHeight="1" x14ac:dyDescent="0.3">
      <c r="A2" s="307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191"/>
    </row>
    <row r="3" spans="1:16" ht="15.6" customHeight="1" x14ac:dyDescent="0.3">
      <c r="A3" s="307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191"/>
    </row>
    <row r="4" spans="1:16" ht="15.6" customHeight="1" x14ac:dyDescent="0.3">
      <c r="A4" s="307"/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191"/>
      <c r="P4" s="166"/>
    </row>
    <row r="5" spans="1:16" ht="20.399999999999999" customHeight="1" x14ac:dyDescent="0.3">
      <c r="A5" s="345" t="s">
        <v>264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258"/>
    </row>
    <row r="6" spans="1:16" ht="19.2" customHeight="1" x14ac:dyDescent="0.3">
      <c r="A6" s="346" t="s">
        <v>321</v>
      </c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258"/>
    </row>
    <row r="7" spans="1:16" ht="25.8" thickBot="1" x14ac:dyDescent="0.35">
      <c r="A7" s="347" t="s">
        <v>266</v>
      </c>
      <c r="B7" s="347"/>
      <c r="C7" s="347"/>
      <c r="D7" s="261" t="s">
        <v>267</v>
      </c>
      <c r="E7" s="261" t="s">
        <v>268</v>
      </c>
      <c r="F7" s="176"/>
      <c r="G7" s="176"/>
      <c r="H7" s="176"/>
      <c r="I7" s="176"/>
      <c r="J7" s="176"/>
      <c r="K7" s="176"/>
      <c r="L7" s="176"/>
      <c r="M7" s="176"/>
      <c r="N7" s="258"/>
    </row>
    <row r="8" spans="1:16" ht="18.600000000000001" thickBot="1" x14ac:dyDescent="0.4">
      <c r="A8" s="338" t="s">
        <v>269</v>
      </c>
      <c r="B8" s="339"/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270"/>
    </row>
    <row r="9" spans="1:16" ht="55.2" customHeight="1" x14ac:dyDescent="0.3">
      <c r="A9" s="117" t="s">
        <v>284</v>
      </c>
      <c r="B9" s="117" t="s">
        <v>145</v>
      </c>
      <c r="C9" s="117" t="s">
        <v>146</v>
      </c>
      <c r="D9" s="117" t="s">
        <v>147</v>
      </c>
      <c r="E9" s="117" t="s">
        <v>272</v>
      </c>
      <c r="F9" s="117" t="s">
        <v>177</v>
      </c>
      <c r="G9" s="117" t="s">
        <v>275</v>
      </c>
      <c r="H9" s="117" t="s">
        <v>322</v>
      </c>
      <c r="I9" s="117" t="s">
        <v>323</v>
      </c>
      <c r="J9" s="117" t="s">
        <v>324</v>
      </c>
      <c r="K9" s="117" t="s">
        <v>278</v>
      </c>
      <c r="L9" s="117" t="s">
        <v>13</v>
      </c>
      <c r="M9" s="118" t="s">
        <v>161</v>
      </c>
      <c r="N9" s="129" t="s">
        <v>220</v>
      </c>
      <c r="O9" s="130" t="s">
        <v>229</v>
      </c>
      <c r="P9" s="271" t="s">
        <v>219</v>
      </c>
    </row>
    <row r="10" spans="1:16" ht="28.8" customHeight="1" x14ac:dyDescent="0.3">
      <c r="A10" s="63">
        <v>1</v>
      </c>
      <c r="B10" s="94">
        <v>1500721202</v>
      </c>
      <c r="C10" s="64" t="s">
        <v>163</v>
      </c>
      <c r="D10" s="65" t="s">
        <v>15</v>
      </c>
      <c r="E10" s="63">
        <v>1340</v>
      </c>
      <c r="F10" s="63">
        <v>30</v>
      </c>
      <c r="G10" s="102">
        <v>6</v>
      </c>
      <c r="H10" s="102">
        <f>E10*G10</f>
        <v>8040</v>
      </c>
      <c r="I10" s="102">
        <v>12</v>
      </c>
      <c r="J10" s="102">
        <f>H10/I10</f>
        <v>670</v>
      </c>
      <c r="K10" s="102"/>
      <c r="L10" s="140">
        <f>J10-K10</f>
        <v>670</v>
      </c>
      <c r="M10" s="63"/>
      <c r="N10" s="123" t="s">
        <v>207</v>
      </c>
      <c r="O10" s="126" t="s">
        <v>206</v>
      </c>
      <c r="P10">
        <v>1700511</v>
      </c>
    </row>
    <row r="11" spans="1:16" ht="28.8" customHeight="1" x14ac:dyDescent="0.3">
      <c r="A11" s="63">
        <v>2</v>
      </c>
      <c r="B11" s="95" t="s">
        <v>198</v>
      </c>
      <c r="C11" s="66" t="s">
        <v>164</v>
      </c>
      <c r="D11" s="65" t="s">
        <v>169</v>
      </c>
      <c r="E11" s="63">
        <v>533</v>
      </c>
      <c r="F11" s="63">
        <v>30</v>
      </c>
      <c r="G11" s="102">
        <v>6</v>
      </c>
      <c r="H11" s="102">
        <f t="shared" ref="H11:H15" si="0">E11*G11</f>
        <v>3198</v>
      </c>
      <c r="I11" s="102">
        <v>12</v>
      </c>
      <c r="J11" s="102">
        <f t="shared" ref="J11:J15" si="1">H11/I11</f>
        <v>266.5</v>
      </c>
      <c r="K11" s="102"/>
      <c r="L11" s="140">
        <f t="shared" ref="L11:L15" si="2">J11-K11</f>
        <v>266.5</v>
      </c>
      <c r="M11" s="63"/>
      <c r="N11" s="123" t="s">
        <v>211</v>
      </c>
      <c r="O11" s="126" t="s">
        <v>205</v>
      </c>
      <c r="P11">
        <v>1410036</v>
      </c>
    </row>
    <row r="12" spans="1:16" ht="28.8" customHeight="1" x14ac:dyDescent="0.3">
      <c r="A12" s="63">
        <v>3</v>
      </c>
      <c r="B12" s="95" t="s">
        <v>199</v>
      </c>
      <c r="C12" s="66" t="s">
        <v>165</v>
      </c>
      <c r="D12" s="65" t="s">
        <v>170</v>
      </c>
      <c r="E12" s="63">
        <v>533</v>
      </c>
      <c r="F12" s="63">
        <v>30</v>
      </c>
      <c r="G12" s="102">
        <v>6</v>
      </c>
      <c r="H12" s="102">
        <f t="shared" si="0"/>
        <v>3198</v>
      </c>
      <c r="I12" s="102">
        <v>12</v>
      </c>
      <c r="J12" s="102">
        <f t="shared" si="1"/>
        <v>266.5</v>
      </c>
      <c r="K12" s="102">
        <v>170</v>
      </c>
      <c r="L12" s="140">
        <f t="shared" si="2"/>
        <v>96.5</v>
      </c>
      <c r="M12" s="63"/>
      <c r="N12" s="123" t="s">
        <v>210</v>
      </c>
      <c r="O12" s="126" t="s">
        <v>205</v>
      </c>
      <c r="P12">
        <v>1410036</v>
      </c>
    </row>
    <row r="13" spans="1:16" ht="28.8" customHeight="1" x14ac:dyDescent="0.3">
      <c r="A13" s="63">
        <v>4</v>
      </c>
      <c r="B13" s="96">
        <v>1500367295</v>
      </c>
      <c r="C13" s="64" t="s">
        <v>166</v>
      </c>
      <c r="D13" s="65" t="s">
        <v>171</v>
      </c>
      <c r="E13" s="63">
        <v>533</v>
      </c>
      <c r="F13" s="63">
        <v>30</v>
      </c>
      <c r="G13" s="102">
        <v>6</v>
      </c>
      <c r="H13" s="102">
        <f t="shared" si="0"/>
        <v>3198</v>
      </c>
      <c r="I13" s="102">
        <v>12</v>
      </c>
      <c r="J13" s="102">
        <f t="shared" si="1"/>
        <v>266.5</v>
      </c>
      <c r="K13" s="102">
        <v>85</v>
      </c>
      <c r="L13" s="140">
        <f t="shared" si="2"/>
        <v>181.5</v>
      </c>
      <c r="M13" s="63"/>
      <c r="N13" s="123" t="s">
        <v>255</v>
      </c>
      <c r="O13" s="126" t="s">
        <v>205</v>
      </c>
      <c r="P13">
        <v>1410036</v>
      </c>
    </row>
    <row r="14" spans="1:16" ht="28.8" customHeight="1" x14ac:dyDescent="0.3">
      <c r="A14" s="63">
        <v>5</v>
      </c>
      <c r="B14" s="97">
        <v>1500814940</v>
      </c>
      <c r="C14" s="66" t="s">
        <v>167</v>
      </c>
      <c r="D14" s="65" t="s">
        <v>172</v>
      </c>
      <c r="E14" s="63">
        <v>533</v>
      </c>
      <c r="F14" s="63">
        <v>30</v>
      </c>
      <c r="G14" s="102">
        <v>6</v>
      </c>
      <c r="H14" s="102">
        <f t="shared" si="0"/>
        <v>3198</v>
      </c>
      <c r="I14" s="102">
        <v>12</v>
      </c>
      <c r="J14" s="102">
        <f t="shared" si="1"/>
        <v>266.5</v>
      </c>
      <c r="K14" s="102">
        <v>150.1</v>
      </c>
      <c r="L14" s="140">
        <f t="shared" si="2"/>
        <v>116.4</v>
      </c>
      <c r="M14" s="63"/>
      <c r="N14" s="123" t="s">
        <v>286</v>
      </c>
      <c r="O14" s="126" t="s">
        <v>209</v>
      </c>
      <c r="P14">
        <v>1600022</v>
      </c>
    </row>
    <row r="15" spans="1:16" ht="28.8" customHeight="1" x14ac:dyDescent="0.3">
      <c r="A15" s="63">
        <v>6</v>
      </c>
      <c r="B15" s="98" t="s">
        <v>200</v>
      </c>
      <c r="C15" s="67" t="s">
        <v>168</v>
      </c>
      <c r="D15" s="68" t="s">
        <v>173</v>
      </c>
      <c r="E15" s="63">
        <v>733</v>
      </c>
      <c r="F15" s="63">
        <v>30</v>
      </c>
      <c r="G15" s="102">
        <v>6</v>
      </c>
      <c r="H15" s="102">
        <f t="shared" si="0"/>
        <v>4398</v>
      </c>
      <c r="I15" s="102">
        <v>12</v>
      </c>
      <c r="J15" s="102">
        <f t="shared" si="1"/>
        <v>366.5</v>
      </c>
      <c r="K15" s="102"/>
      <c r="L15" s="140">
        <f t="shared" si="2"/>
        <v>366.5</v>
      </c>
      <c r="M15" s="63"/>
      <c r="N15" s="123" t="s">
        <v>208</v>
      </c>
      <c r="O15" s="126" t="s">
        <v>209</v>
      </c>
      <c r="P15">
        <v>1600022</v>
      </c>
    </row>
    <row r="16" spans="1:16" ht="28.8" customHeight="1" x14ac:dyDescent="0.3">
      <c r="A16" s="327" t="s">
        <v>185</v>
      </c>
      <c r="B16" s="328"/>
      <c r="C16" s="328"/>
      <c r="D16" s="328"/>
      <c r="E16" s="185">
        <f>SUM(E10:E15)</f>
        <v>4205</v>
      </c>
      <c r="F16" s="93"/>
      <c r="G16" s="93"/>
      <c r="H16" s="93">
        <f>SUM(H10:H15)</f>
        <v>25230</v>
      </c>
      <c r="I16" s="93"/>
      <c r="J16" s="93"/>
      <c r="K16" s="93">
        <f>SUM(K10:K15)</f>
        <v>405.1</v>
      </c>
      <c r="L16" s="121">
        <f>SUM(L10:L15)</f>
        <v>1697.4</v>
      </c>
      <c r="M16" s="184"/>
      <c r="N16" s="175">
        <f>L16+L31+L40</f>
        <v>6239.0941666666658</v>
      </c>
      <c r="O16" s="174" t="s">
        <v>263</v>
      </c>
    </row>
    <row r="17" spans="1:16" s="167" customFormat="1" ht="19.2" customHeight="1" x14ac:dyDescent="0.3">
      <c r="A17" s="345" t="s">
        <v>264</v>
      </c>
      <c r="B17" s="345"/>
      <c r="C17" s="345"/>
      <c r="D17" s="345"/>
      <c r="E17" s="345"/>
      <c r="F17" s="345"/>
      <c r="G17" s="345"/>
      <c r="H17" s="345"/>
      <c r="I17" s="345"/>
      <c r="J17" s="345"/>
      <c r="K17" s="345"/>
      <c r="L17" s="345"/>
      <c r="M17" s="345"/>
      <c r="N17" s="272"/>
      <c r="O17" s="179"/>
      <c r="P17" s="180"/>
    </row>
    <row r="18" spans="1:16" s="167" customFormat="1" ht="19.2" customHeight="1" x14ac:dyDescent="0.3">
      <c r="A18" s="346" t="s">
        <v>270</v>
      </c>
      <c r="B18" s="346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272"/>
      <c r="O18" s="179"/>
      <c r="P18" s="180"/>
    </row>
    <row r="19" spans="1:16" s="167" customFormat="1" ht="19.2" customHeight="1" thickBot="1" x14ac:dyDescent="0.35">
      <c r="A19" s="347" t="s">
        <v>266</v>
      </c>
      <c r="B19" s="347"/>
      <c r="C19" s="347"/>
      <c r="D19" s="261" t="s">
        <v>267</v>
      </c>
      <c r="E19" s="261" t="s">
        <v>271</v>
      </c>
      <c r="F19" s="176"/>
      <c r="G19" s="176"/>
      <c r="H19" s="176"/>
      <c r="I19" s="176"/>
      <c r="J19" s="176"/>
      <c r="K19" s="176"/>
      <c r="L19" s="176"/>
      <c r="M19" s="176"/>
      <c r="N19" s="272"/>
      <c r="O19" s="179"/>
      <c r="P19" s="180"/>
    </row>
    <row r="20" spans="1:16" ht="18.600000000000001" thickBot="1" x14ac:dyDescent="0.4">
      <c r="A20" s="340" t="s">
        <v>283</v>
      </c>
      <c r="B20" s="341"/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273"/>
    </row>
    <row r="21" spans="1:16" ht="57.6" x14ac:dyDescent="0.3">
      <c r="A21" s="109" t="s">
        <v>285</v>
      </c>
      <c r="B21" s="109" t="s">
        <v>145</v>
      </c>
      <c r="C21" s="109" t="s">
        <v>146</v>
      </c>
      <c r="D21" s="109" t="s">
        <v>147</v>
      </c>
      <c r="E21" s="111" t="s">
        <v>272</v>
      </c>
      <c r="F21" s="111" t="s">
        <v>177</v>
      </c>
      <c r="G21" s="111" t="s">
        <v>275</v>
      </c>
      <c r="H21" s="111" t="s">
        <v>322</v>
      </c>
      <c r="I21" s="111" t="s">
        <v>323</v>
      </c>
      <c r="J21" s="111" t="s">
        <v>324</v>
      </c>
      <c r="K21" s="111" t="s">
        <v>325</v>
      </c>
      <c r="L21" s="111" t="s">
        <v>13</v>
      </c>
      <c r="M21" s="181" t="s">
        <v>161</v>
      </c>
      <c r="N21" s="131" t="s">
        <v>220</v>
      </c>
      <c r="O21" s="132" t="s">
        <v>229</v>
      </c>
      <c r="P21" s="274" t="s">
        <v>219</v>
      </c>
    </row>
    <row r="22" spans="1:16" ht="31.2" customHeight="1" x14ac:dyDescent="0.3">
      <c r="A22" s="63">
        <v>7</v>
      </c>
      <c r="B22" s="73" t="s">
        <v>179</v>
      </c>
      <c r="C22" s="73" t="s">
        <v>178</v>
      </c>
      <c r="D22" s="73" t="s">
        <v>183</v>
      </c>
      <c r="E22" s="74">
        <v>553</v>
      </c>
      <c r="F22" s="63">
        <v>30</v>
      </c>
      <c r="G22" s="102">
        <v>12</v>
      </c>
      <c r="H22" s="99">
        <f>E22*G22</f>
        <v>6636</v>
      </c>
      <c r="I22" s="99">
        <v>12</v>
      </c>
      <c r="J22" s="99">
        <f>H22/I22</f>
        <v>553</v>
      </c>
      <c r="K22" s="99"/>
      <c r="L22" s="277">
        <f>J22+K22</f>
        <v>553</v>
      </c>
      <c r="M22" s="63"/>
      <c r="N22" s="123" t="s">
        <v>254</v>
      </c>
      <c r="O22" s="126" t="s">
        <v>209</v>
      </c>
      <c r="P22">
        <v>1600022</v>
      </c>
    </row>
    <row r="23" spans="1:16" ht="31.2" customHeight="1" x14ac:dyDescent="0.3">
      <c r="A23" s="63">
        <v>8</v>
      </c>
      <c r="B23" s="73" t="s">
        <v>77</v>
      </c>
      <c r="C23" s="73" t="s">
        <v>73</v>
      </c>
      <c r="D23" s="73" t="s">
        <v>74</v>
      </c>
      <c r="E23" s="74">
        <v>708</v>
      </c>
      <c r="F23" s="63">
        <v>30</v>
      </c>
      <c r="G23" s="63">
        <v>12</v>
      </c>
      <c r="H23" s="99">
        <f t="shared" ref="H23:H29" si="3">E23*G23</f>
        <v>8496</v>
      </c>
      <c r="I23" s="99">
        <v>12</v>
      </c>
      <c r="J23" s="99">
        <f t="shared" ref="J23:J29" si="4">H23/I23</f>
        <v>708</v>
      </c>
      <c r="K23" s="99"/>
      <c r="L23" s="277">
        <f t="shared" ref="L23:L28" si="5">J23+K23</f>
        <v>708</v>
      </c>
      <c r="M23" s="63"/>
      <c r="N23" s="123" t="s">
        <v>221</v>
      </c>
      <c r="O23" s="126" t="s">
        <v>205</v>
      </c>
      <c r="P23">
        <v>1410036</v>
      </c>
    </row>
    <row r="24" spans="1:16" ht="36.6" customHeight="1" x14ac:dyDescent="0.3">
      <c r="A24" s="63">
        <v>9</v>
      </c>
      <c r="B24" s="73" t="s">
        <v>79</v>
      </c>
      <c r="C24" s="73" t="s">
        <v>78</v>
      </c>
      <c r="D24" s="73" t="s">
        <v>184</v>
      </c>
      <c r="E24" s="74">
        <v>566</v>
      </c>
      <c r="F24" s="63">
        <v>30</v>
      </c>
      <c r="G24" s="63">
        <v>12</v>
      </c>
      <c r="H24" s="99">
        <f t="shared" si="3"/>
        <v>6792</v>
      </c>
      <c r="I24" s="99">
        <v>12</v>
      </c>
      <c r="J24" s="99">
        <f t="shared" si="4"/>
        <v>566</v>
      </c>
      <c r="K24" s="99"/>
      <c r="L24" s="277">
        <f t="shared" si="5"/>
        <v>566</v>
      </c>
      <c r="M24" s="63"/>
      <c r="N24" s="123" t="s">
        <v>228</v>
      </c>
      <c r="O24" s="126" t="s">
        <v>209</v>
      </c>
      <c r="P24">
        <v>1600022</v>
      </c>
    </row>
    <row r="25" spans="1:16" ht="31.2" customHeight="1" x14ac:dyDescent="0.3">
      <c r="A25" s="63">
        <v>10</v>
      </c>
      <c r="B25" s="73" t="s">
        <v>180</v>
      </c>
      <c r="C25" s="73" t="s">
        <v>69</v>
      </c>
      <c r="D25" s="73" t="s">
        <v>66</v>
      </c>
      <c r="E25" s="74">
        <v>584</v>
      </c>
      <c r="F25" s="63">
        <v>30</v>
      </c>
      <c r="G25" s="63">
        <v>12</v>
      </c>
      <c r="H25" s="99">
        <f t="shared" si="3"/>
        <v>7008</v>
      </c>
      <c r="I25" s="99">
        <v>12</v>
      </c>
      <c r="J25" s="99">
        <f t="shared" si="4"/>
        <v>584</v>
      </c>
      <c r="K25" s="99"/>
      <c r="L25" s="277">
        <f t="shared" si="5"/>
        <v>584</v>
      </c>
      <c r="M25" s="63"/>
      <c r="N25" s="123" t="s">
        <v>222</v>
      </c>
      <c r="O25" s="126" t="s">
        <v>209</v>
      </c>
      <c r="P25">
        <v>1600022</v>
      </c>
    </row>
    <row r="26" spans="1:16" ht="31.2" customHeight="1" x14ac:dyDescent="0.3">
      <c r="A26" s="63">
        <v>11</v>
      </c>
      <c r="B26" s="73" t="s">
        <v>89</v>
      </c>
      <c r="C26" s="73" t="s">
        <v>88</v>
      </c>
      <c r="D26" s="73" t="s">
        <v>90</v>
      </c>
      <c r="E26" s="74">
        <v>527</v>
      </c>
      <c r="F26" s="63">
        <v>30</v>
      </c>
      <c r="G26" s="63">
        <v>12</v>
      </c>
      <c r="H26" s="99">
        <f t="shared" si="3"/>
        <v>6324</v>
      </c>
      <c r="I26" s="99">
        <v>12</v>
      </c>
      <c r="J26" s="99">
        <f t="shared" si="4"/>
        <v>527</v>
      </c>
      <c r="K26" s="99"/>
      <c r="L26" s="277">
        <f t="shared" si="5"/>
        <v>527</v>
      </c>
      <c r="M26" s="63"/>
      <c r="N26" s="123" t="s">
        <v>218</v>
      </c>
      <c r="O26" s="126" t="s">
        <v>205</v>
      </c>
      <c r="P26">
        <v>1410036</v>
      </c>
    </row>
    <row r="27" spans="1:16" ht="31.2" customHeight="1" x14ac:dyDescent="0.3">
      <c r="A27" s="63">
        <v>12</v>
      </c>
      <c r="B27" s="73" t="s">
        <v>181</v>
      </c>
      <c r="C27" s="73" t="s">
        <v>95</v>
      </c>
      <c r="D27" s="73" t="s">
        <v>87</v>
      </c>
      <c r="E27" s="74">
        <v>500</v>
      </c>
      <c r="F27" s="63">
        <v>30</v>
      </c>
      <c r="G27" s="63">
        <v>12</v>
      </c>
      <c r="H27" s="99">
        <f t="shared" si="3"/>
        <v>6000</v>
      </c>
      <c r="I27" s="99">
        <v>12</v>
      </c>
      <c r="J27" s="99">
        <f t="shared" si="4"/>
        <v>500</v>
      </c>
      <c r="K27" s="99"/>
      <c r="L27" s="277">
        <f t="shared" si="5"/>
        <v>500</v>
      </c>
      <c r="M27" s="63"/>
      <c r="N27" s="123" t="s">
        <v>216</v>
      </c>
      <c r="O27" s="126" t="s">
        <v>217</v>
      </c>
      <c r="P27">
        <v>1700427</v>
      </c>
    </row>
    <row r="28" spans="1:16" ht="31.2" customHeight="1" x14ac:dyDescent="0.3">
      <c r="A28" s="63"/>
      <c r="B28" s="73" t="s">
        <v>182</v>
      </c>
      <c r="C28" s="73" t="s">
        <v>65</v>
      </c>
      <c r="D28" s="73" t="s">
        <v>66</v>
      </c>
      <c r="E28" s="76">
        <v>614</v>
      </c>
      <c r="F28" s="63">
        <v>30</v>
      </c>
      <c r="G28" s="63">
        <v>12</v>
      </c>
      <c r="H28" s="99">
        <f t="shared" si="3"/>
        <v>7368</v>
      </c>
      <c r="I28" s="99">
        <v>12</v>
      </c>
      <c r="J28" s="99">
        <f t="shared" si="4"/>
        <v>614</v>
      </c>
      <c r="K28" s="99"/>
      <c r="L28" s="277">
        <f t="shared" si="5"/>
        <v>614</v>
      </c>
      <c r="M28" s="77"/>
      <c r="N28" s="123" t="s">
        <v>223</v>
      </c>
      <c r="O28" s="126" t="s">
        <v>224</v>
      </c>
      <c r="P28">
        <v>1700027</v>
      </c>
    </row>
    <row r="29" spans="1:16" ht="31.2" customHeight="1" x14ac:dyDescent="0.3">
      <c r="A29" s="63"/>
      <c r="B29" s="236" t="s">
        <v>290</v>
      </c>
      <c r="C29" s="223" t="s">
        <v>291</v>
      </c>
      <c r="D29" s="223" t="s">
        <v>292</v>
      </c>
      <c r="E29" s="237">
        <v>708</v>
      </c>
      <c r="F29" s="63">
        <v>16</v>
      </c>
      <c r="G29" s="63">
        <v>3</v>
      </c>
      <c r="H29" s="99">
        <f t="shared" si="3"/>
        <v>2124</v>
      </c>
      <c r="I29" s="99">
        <v>12</v>
      </c>
      <c r="J29" s="99">
        <f t="shared" si="4"/>
        <v>177</v>
      </c>
      <c r="K29" s="278">
        <f>377.6/12</f>
        <v>31.466666666666669</v>
      </c>
      <c r="L29" s="277">
        <f>J29+K29</f>
        <v>208.46666666666667</v>
      </c>
      <c r="M29" s="77"/>
      <c r="N29" s="123" t="s">
        <v>293</v>
      </c>
      <c r="O29" s="123" t="s">
        <v>209</v>
      </c>
      <c r="P29" s="231">
        <v>1600022</v>
      </c>
    </row>
    <row r="30" spans="1:16" ht="31.2" customHeight="1" x14ac:dyDescent="0.3">
      <c r="A30" s="63"/>
      <c r="B30" s="223">
        <v>2100854088</v>
      </c>
      <c r="C30" s="224" t="s">
        <v>312</v>
      </c>
      <c r="D30" s="224" t="s">
        <v>66</v>
      </c>
      <c r="E30" s="221">
        <v>566</v>
      </c>
      <c r="F30" s="63">
        <v>27</v>
      </c>
      <c r="G30" s="63">
        <v>2</v>
      </c>
      <c r="H30" s="99">
        <f t="shared" ref="H30" si="6">E30*G30</f>
        <v>1132</v>
      </c>
      <c r="I30" s="99">
        <v>12</v>
      </c>
      <c r="J30" s="99">
        <f t="shared" ref="J30" si="7">H30/I30</f>
        <v>94.333333333333329</v>
      </c>
      <c r="K30" s="278">
        <f>509.4/12</f>
        <v>42.449999999999996</v>
      </c>
      <c r="L30" s="277">
        <f>J30+K30</f>
        <v>136.78333333333333</v>
      </c>
      <c r="M30" s="77"/>
      <c r="N30" s="123" t="s">
        <v>313</v>
      </c>
      <c r="O30" s="123" t="s">
        <v>209</v>
      </c>
      <c r="P30" s="231">
        <v>1600022</v>
      </c>
    </row>
    <row r="31" spans="1:16" x14ac:dyDescent="0.3">
      <c r="A31" s="327" t="s">
        <v>185</v>
      </c>
      <c r="B31" s="328"/>
      <c r="C31" s="328"/>
      <c r="D31" s="328"/>
      <c r="E31" s="186">
        <f>SUM(E22:E30)</f>
        <v>5326</v>
      </c>
      <c r="F31" s="79"/>
      <c r="G31" s="79"/>
      <c r="H31" s="79">
        <f>SUM(H22:H30)</f>
        <v>51880</v>
      </c>
      <c r="I31" s="79"/>
      <c r="J31" s="79"/>
      <c r="K31" s="79"/>
      <c r="L31" s="79">
        <f>SUM(L22:L30)</f>
        <v>4397.25</v>
      </c>
      <c r="M31" s="79"/>
      <c r="N31" s="79"/>
    </row>
    <row r="32" spans="1:16" x14ac:dyDescent="0.3">
      <c r="A32" s="345" t="s">
        <v>264</v>
      </c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272"/>
    </row>
    <row r="33" spans="1:16" x14ac:dyDescent="0.3">
      <c r="A33" s="346" t="s">
        <v>270</v>
      </c>
      <c r="B33" s="346"/>
      <c r="C33" s="346"/>
      <c r="D33" s="346"/>
      <c r="E33" s="346"/>
      <c r="F33" s="346"/>
      <c r="G33" s="346"/>
      <c r="H33" s="346"/>
      <c r="I33" s="346"/>
      <c r="J33" s="346"/>
      <c r="K33" s="346"/>
      <c r="L33" s="346"/>
      <c r="M33" s="346"/>
      <c r="N33" s="272"/>
    </row>
    <row r="34" spans="1:16" ht="16.2" thickBot="1" x14ac:dyDescent="0.35">
      <c r="A34" s="347" t="s">
        <v>266</v>
      </c>
      <c r="B34" s="347"/>
      <c r="C34" s="347"/>
      <c r="D34" s="261" t="s">
        <v>267</v>
      </c>
      <c r="E34" s="261" t="s">
        <v>271</v>
      </c>
      <c r="F34" s="176"/>
      <c r="G34" s="176"/>
      <c r="H34" s="176"/>
      <c r="I34" s="176"/>
      <c r="J34" s="176"/>
      <c r="K34" s="176"/>
      <c r="L34" s="176"/>
      <c r="M34" s="176"/>
      <c r="N34" s="272"/>
    </row>
    <row r="35" spans="1:16" ht="16.2" customHeight="1" thickBot="1" x14ac:dyDescent="0.35">
      <c r="A35" s="324" t="s">
        <v>282</v>
      </c>
      <c r="B35" s="325"/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275"/>
    </row>
    <row r="36" spans="1:16" ht="38.4" customHeight="1" x14ac:dyDescent="0.3">
      <c r="A36" s="188" t="s">
        <v>284</v>
      </c>
      <c r="B36" s="188" t="s">
        <v>145</v>
      </c>
      <c r="C36" s="188" t="s">
        <v>146</v>
      </c>
      <c r="D36" s="188" t="s">
        <v>147</v>
      </c>
      <c r="E36" s="111" t="s">
        <v>272</v>
      </c>
      <c r="F36" s="111" t="s">
        <v>177</v>
      </c>
      <c r="G36" s="111" t="s">
        <v>275</v>
      </c>
      <c r="H36" s="111" t="s">
        <v>322</v>
      </c>
      <c r="I36" s="111" t="s">
        <v>323</v>
      </c>
      <c r="J36" s="111" t="s">
        <v>324</v>
      </c>
      <c r="K36" s="111" t="s">
        <v>325</v>
      </c>
      <c r="L36" s="111" t="s">
        <v>13</v>
      </c>
      <c r="M36" s="181" t="s">
        <v>161</v>
      </c>
      <c r="N36" s="129" t="s">
        <v>220</v>
      </c>
      <c r="O36" s="130" t="s">
        <v>229</v>
      </c>
      <c r="P36" s="271" t="s">
        <v>219</v>
      </c>
    </row>
    <row r="37" spans="1:16" ht="31.2" customHeight="1" x14ac:dyDescent="0.3">
      <c r="A37" s="63">
        <v>0</v>
      </c>
      <c r="B37" s="73">
        <v>2200446587</v>
      </c>
      <c r="C37" s="73" t="s">
        <v>190</v>
      </c>
      <c r="D37" s="73" t="s">
        <v>191</v>
      </c>
      <c r="E37" s="91">
        <v>527</v>
      </c>
      <c r="F37" s="63"/>
      <c r="G37" s="343"/>
      <c r="H37" s="343"/>
      <c r="I37" s="343"/>
      <c r="J37" s="343"/>
      <c r="K37" s="344"/>
      <c r="L37" s="141">
        <v>0</v>
      </c>
      <c r="M37" s="63"/>
      <c r="N37" s="123" t="s">
        <v>230</v>
      </c>
      <c r="O37" s="126" t="s">
        <v>209</v>
      </c>
      <c r="P37">
        <v>1600022</v>
      </c>
    </row>
    <row r="38" spans="1:16" ht="31.2" customHeight="1" x14ac:dyDescent="0.3">
      <c r="A38" s="63">
        <v>14</v>
      </c>
      <c r="B38" s="142" t="s">
        <v>295</v>
      </c>
      <c r="C38" s="73" t="s">
        <v>296</v>
      </c>
      <c r="D38" s="73" t="s">
        <v>84</v>
      </c>
      <c r="E38" s="91">
        <v>500</v>
      </c>
      <c r="F38" s="63">
        <v>14</v>
      </c>
      <c r="G38" s="63">
        <v>3</v>
      </c>
      <c r="H38" s="99">
        <f t="shared" ref="H38" si="8">E38*G38</f>
        <v>1500</v>
      </c>
      <c r="I38" s="99">
        <v>12</v>
      </c>
      <c r="J38" s="99">
        <f t="shared" ref="J38" si="9">H38/I38</f>
        <v>125</v>
      </c>
      <c r="K38" s="99">
        <f>233.33/12</f>
        <v>19.444166666666668</v>
      </c>
      <c r="L38" s="277">
        <f>J38+K38</f>
        <v>144.44416666666666</v>
      </c>
      <c r="M38" s="152"/>
      <c r="N38" s="123" t="s">
        <v>294</v>
      </c>
      <c r="O38" s="126" t="s">
        <v>205</v>
      </c>
      <c r="P38">
        <v>1410036</v>
      </c>
    </row>
    <row r="39" spans="1:16" ht="31.2" customHeight="1" x14ac:dyDescent="0.3">
      <c r="A39" s="63">
        <v>0</v>
      </c>
      <c r="B39" s="276" t="s">
        <v>235</v>
      </c>
      <c r="C39" s="73" t="s">
        <v>195</v>
      </c>
      <c r="D39" s="73" t="s">
        <v>196</v>
      </c>
      <c r="E39" s="91">
        <v>1212</v>
      </c>
      <c r="F39" s="63"/>
      <c r="G39" s="343"/>
      <c r="H39" s="343"/>
      <c r="I39" s="343"/>
      <c r="J39" s="343"/>
      <c r="K39" s="344"/>
      <c r="L39" s="141">
        <v>0</v>
      </c>
      <c r="M39" s="152"/>
      <c r="N39" s="123" t="s">
        <v>214</v>
      </c>
      <c r="O39" s="126" t="s">
        <v>213</v>
      </c>
      <c r="P39">
        <v>2600021</v>
      </c>
    </row>
    <row r="40" spans="1:16" ht="31.2" customHeight="1" x14ac:dyDescent="0.3">
      <c r="A40" s="332" t="s">
        <v>185</v>
      </c>
      <c r="B40" s="333"/>
      <c r="C40" s="333"/>
      <c r="D40" s="333"/>
      <c r="E40" s="187">
        <f>SUM(E37:E39)</f>
        <v>2239</v>
      </c>
      <c r="F40" s="63"/>
      <c r="G40" s="136"/>
      <c r="H40" s="136"/>
      <c r="I40" s="136"/>
      <c r="J40" s="136"/>
      <c r="K40" s="136"/>
      <c r="L40" s="136">
        <f>SUM(L37:L39)</f>
        <v>144.44416666666666</v>
      </c>
      <c r="M40" s="136"/>
      <c r="N40" s="137"/>
    </row>
    <row r="42" spans="1:16" x14ac:dyDescent="0.3">
      <c r="C42" s="167"/>
      <c r="D42" s="260" t="s">
        <v>28</v>
      </c>
      <c r="E42" s="260"/>
      <c r="F42" s="84"/>
      <c r="G42" s="85"/>
      <c r="H42" s="330"/>
      <c r="I42" s="330"/>
      <c r="J42" s="330"/>
      <c r="K42" s="330"/>
    </row>
    <row r="43" spans="1:16" x14ac:dyDescent="0.3">
      <c r="C43" s="260"/>
      <c r="D43" s="260"/>
      <c r="E43" s="260"/>
      <c r="F43" s="84"/>
      <c r="G43" s="85"/>
      <c r="H43" s="260"/>
      <c r="I43" s="260"/>
      <c r="J43" s="260"/>
      <c r="K43" s="260"/>
    </row>
    <row r="44" spans="1:16" x14ac:dyDescent="0.3">
      <c r="C44" s="88"/>
      <c r="D44" s="146"/>
      <c r="E44" s="145"/>
      <c r="F44" s="84"/>
      <c r="G44" s="85"/>
      <c r="H44" s="145"/>
      <c r="I44" s="145"/>
      <c r="J44" s="145"/>
      <c r="K44" s="145"/>
    </row>
    <row r="45" spans="1:16" x14ac:dyDescent="0.3">
      <c r="D45" s="260" t="s">
        <v>188</v>
      </c>
      <c r="E45" s="260"/>
      <c r="F45" s="260"/>
      <c r="G45" s="85"/>
      <c r="H45" s="260" t="s">
        <v>189</v>
      </c>
      <c r="I45" s="260"/>
      <c r="J45" s="260"/>
      <c r="K45" s="260"/>
    </row>
    <row r="46" spans="1:16" x14ac:dyDescent="0.3">
      <c r="D46" s="259" t="s">
        <v>238</v>
      </c>
      <c r="E46" s="259"/>
      <c r="F46" s="259"/>
      <c r="H46" s="259" t="s">
        <v>237</v>
      </c>
      <c r="I46" s="259"/>
      <c r="J46" s="259"/>
      <c r="K46" s="259"/>
    </row>
  </sheetData>
  <mergeCells count="19">
    <mergeCell ref="A32:M32"/>
    <mergeCell ref="A1:M4"/>
    <mergeCell ref="A5:M5"/>
    <mergeCell ref="A6:M6"/>
    <mergeCell ref="A7:C7"/>
    <mergeCell ref="A8:M8"/>
    <mergeCell ref="A16:D16"/>
    <mergeCell ref="A17:M17"/>
    <mergeCell ref="A18:M18"/>
    <mergeCell ref="A19:C19"/>
    <mergeCell ref="A20:M20"/>
    <mergeCell ref="A31:D31"/>
    <mergeCell ref="H42:K42"/>
    <mergeCell ref="A33:M33"/>
    <mergeCell ref="A34:C34"/>
    <mergeCell ref="A35:M35"/>
    <mergeCell ref="G37:K37"/>
    <mergeCell ref="G39:K39"/>
    <mergeCell ref="A40:D40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68"/>
  <sheetViews>
    <sheetView topLeftCell="A5" zoomScale="79" zoomScaleNormal="79" workbookViewId="0">
      <selection activeCell="T60" sqref="T60:T62"/>
    </sheetView>
  </sheetViews>
  <sheetFormatPr baseColWidth="10" defaultRowHeight="15.6" outlineLevelCol="1" x14ac:dyDescent="0.3"/>
  <cols>
    <col min="1" max="1" width="8.6640625" bestFit="1" customWidth="1"/>
    <col min="2" max="2" width="7.33203125" customWidth="1"/>
    <col min="3" max="3" width="15.5546875" customWidth="1"/>
    <col min="4" max="4" width="33.33203125" customWidth="1"/>
    <col min="5" max="5" width="18.109375" customWidth="1"/>
    <col min="6" max="6" width="10.77734375" bestFit="1" customWidth="1"/>
    <col min="7" max="7" width="7.77734375" customWidth="1" outlineLevel="1"/>
    <col min="8" max="8" width="9.33203125" customWidth="1" outlineLevel="1"/>
    <col min="9" max="9" width="9" customWidth="1" outlineLevel="1"/>
    <col min="10" max="10" width="8.33203125" customWidth="1" outlineLevel="1"/>
    <col min="11" max="11" width="9.77734375" customWidth="1" outlineLevel="1"/>
    <col min="12" max="12" width="9.88671875" customWidth="1" outlineLevel="1"/>
    <col min="13" max="13" width="10.109375" customWidth="1" outlineLevel="1"/>
    <col min="14" max="14" width="7" customWidth="1" outlineLevel="1"/>
    <col min="15" max="15" width="7.77734375" customWidth="1" outlineLevel="1"/>
    <col min="16" max="16" width="7.6640625" customWidth="1" outlineLevel="1"/>
    <col min="17" max="17" width="7.77734375" customWidth="1" outlineLevel="1"/>
    <col min="18" max="18" width="8" customWidth="1"/>
    <col min="21" max="21" width="24" customWidth="1"/>
    <col min="22" max="22" width="15.5546875" style="123" customWidth="1"/>
    <col min="23" max="23" width="18.33203125" style="126" customWidth="1"/>
    <col min="24" max="24" width="13.88671875" customWidth="1"/>
    <col min="25" max="25" width="10" customWidth="1"/>
  </cols>
  <sheetData>
    <row r="1" spans="1:24" ht="25.2" customHeight="1" x14ac:dyDescent="0.3">
      <c r="A1" s="294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/>
    </row>
    <row r="2" spans="1:24" x14ac:dyDescent="0.3">
      <c r="A2" s="307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9"/>
    </row>
    <row r="3" spans="1:24" x14ac:dyDescent="0.3">
      <c r="A3" s="307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9"/>
    </row>
    <row r="4" spans="1:24" x14ac:dyDescent="0.3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9"/>
    </row>
    <row r="5" spans="1:24" ht="16.2" thickBot="1" x14ac:dyDescent="0.35">
      <c r="A5" s="310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2"/>
    </row>
    <row r="6" spans="1:24" ht="18.600000000000001" thickBot="1" x14ac:dyDescent="0.4">
      <c r="A6" s="318" t="s">
        <v>327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20"/>
    </row>
    <row r="7" spans="1:24" ht="55.2" customHeight="1" x14ac:dyDescent="0.3">
      <c r="A7" s="116" t="s">
        <v>143</v>
      </c>
      <c r="B7" s="117" t="s">
        <v>144</v>
      </c>
      <c r="C7" s="117" t="s">
        <v>145</v>
      </c>
      <c r="D7" s="117" t="s">
        <v>146</v>
      </c>
      <c r="E7" s="117" t="s">
        <v>147</v>
      </c>
      <c r="F7" s="117" t="s">
        <v>148</v>
      </c>
      <c r="G7" s="117" t="s">
        <v>177</v>
      </c>
      <c r="H7" s="117" t="s">
        <v>174</v>
      </c>
      <c r="I7" s="117" t="s">
        <v>149</v>
      </c>
      <c r="J7" s="117" t="s">
        <v>150</v>
      </c>
      <c r="K7" s="117" t="s">
        <v>152</v>
      </c>
      <c r="L7" s="117" t="s">
        <v>186</v>
      </c>
      <c r="M7" s="117" t="s">
        <v>154</v>
      </c>
      <c r="N7" s="117" t="s">
        <v>155</v>
      </c>
      <c r="O7" s="117" t="s">
        <v>156</v>
      </c>
      <c r="P7" s="117" t="s">
        <v>157</v>
      </c>
      <c r="Q7" s="117" t="s">
        <v>158</v>
      </c>
      <c r="R7" s="117" t="s">
        <v>159</v>
      </c>
      <c r="S7" s="117" t="s">
        <v>160</v>
      </c>
      <c r="T7" s="117" t="s">
        <v>13</v>
      </c>
      <c r="U7" s="118" t="s">
        <v>161</v>
      </c>
      <c r="V7" s="129" t="s">
        <v>220</v>
      </c>
      <c r="W7" s="130" t="s">
        <v>229</v>
      </c>
      <c r="X7" s="127" t="s">
        <v>219</v>
      </c>
    </row>
    <row r="8" spans="1:24" ht="28.8" customHeight="1" x14ac:dyDescent="0.3">
      <c r="A8" s="71" t="s">
        <v>330</v>
      </c>
      <c r="B8" s="71">
        <v>2023</v>
      </c>
      <c r="C8" s="94">
        <v>1500721202</v>
      </c>
      <c r="D8" s="64" t="s">
        <v>163</v>
      </c>
      <c r="E8" s="65" t="s">
        <v>301</v>
      </c>
      <c r="F8" s="63">
        <v>1340</v>
      </c>
      <c r="G8" s="63">
        <v>30</v>
      </c>
      <c r="H8" s="72">
        <f t="shared" ref="H8:H13" si="0">ROUND(F8/30*G8,2)</f>
        <v>1340</v>
      </c>
      <c r="I8" s="72"/>
      <c r="J8" s="63"/>
      <c r="K8" s="119">
        <f t="shared" ref="K8:K13" si="1">ROUND(H8+I8+J8,2)</f>
        <v>1340</v>
      </c>
      <c r="L8" s="83">
        <f t="shared" ref="L8:L13" si="2">ROUND(H8*11.45%,2)</f>
        <v>153.43</v>
      </c>
      <c r="M8" s="83">
        <f t="shared" ref="M8:M13" si="3">ROUND(H8*11.65%,2)</f>
        <v>156.11000000000001</v>
      </c>
      <c r="N8" s="63">
        <v>51</v>
      </c>
      <c r="O8" s="102"/>
      <c r="P8" s="102"/>
      <c r="Q8" s="63"/>
      <c r="R8" s="120">
        <f t="shared" ref="R8:R13" si="4">L8+O8+P8+Q8</f>
        <v>153.43</v>
      </c>
      <c r="S8" s="288">
        <f>1340*2/7</f>
        <v>382.85714285714283</v>
      </c>
      <c r="T8" s="140">
        <f t="shared" ref="T8:T13" si="5">+K8-R8-S8</f>
        <v>803.71285714285705</v>
      </c>
      <c r="U8" s="63"/>
      <c r="V8" s="123" t="s">
        <v>207</v>
      </c>
      <c r="W8" s="126" t="s">
        <v>206</v>
      </c>
      <c r="X8">
        <v>1700511</v>
      </c>
    </row>
    <row r="9" spans="1:24" ht="28.8" customHeight="1" x14ac:dyDescent="0.3">
      <c r="A9" s="71" t="s">
        <v>330</v>
      </c>
      <c r="B9" s="71">
        <v>2023</v>
      </c>
      <c r="C9" s="95" t="s">
        <v>198</v>
      </c>
      <c r="D9" s="66" t="s">
        <v>164</v>
      </c>
      <c r="E9" s="65" t="s">
        <v>169</v>
      </c>
      <c r="F9" s="63">
        <v>536</v>
      </c>
      <c r="G9" s="63">
        <v>30</v>
      </c>
      <c r="H9" s="72">
        <f t="shared" si="0"/>
        <v>536</v>
      </c>
      <c r="I9" s="72"/>
      <c r="J9" s="63"/>
      <c r="K9" s="119">
        <f t="shared" si="1"/>
        <v>536</v>
      </c>
      <c r="L9" s="83">
        <f t="shared" si="2"/>
        <v>61.37</v>
      </c>
      <c r="M9" s="83">
        <f t="shared" si="3"/>
        <v>62.44</v>
      </c>
      <c r="N9" s="63">
        <v>51</v>
      </c>
      <c r="O9" s="284">
        <v>187</v>
      </c>
      <c r="P9" s="99"/>
      <c r="Q9" s="99"/>
      <c r="R9" s="120">
        <f t="shared" si="4"/>
        <v>248.37</v>
      </c>
      <c r="S9" s="289">
        <f>536/3</f>
        <v>178.66666666666666</v>
      </c>
      <c r="T9" s="140">
        <f t="shared" si="5"/>
        <v>108.96333333333334</v>
      </c>
      <c r="U9" s="63"/>
      <c r="V9" s="123" t="s">
        <v>211</v>
      </c>
      <c r="W9" s="126" t="s">
        <v>205</v>
      </c>
      <c r="X9">
        <v>1410036</v>
      </c>
    </row>
    <row r="10" spans="1:24" ht="28.8" customHeight="1" x14ac:dyDescent="0.3">
      <c r="A10" s="71" t="s">
        <v>330</v>
      </c>
      <c r="B10" s="71">
        <v>2023</v>
      </c>
      <c r="C10" s="95" t="s">
        <v>199</v>
      </c>
      <c r="D10" s="64" t="s">
        <v>302</v>
      </c>
      <c r="E10" s="65" t="s">
        <v>170</v>
      </c>
      <c r="F10" s="63">
        <v>536</v>
      </c>
      <c r="G10" s="63">
        <v>30</v>
      </c>
      <c r="H10" s="72">
        <f t="shared" si="0"/>
        <v>536</v>
      </c>
      <c r="I10" s="72"/>
      <c r="J10" s="63"/>
      <c r="K10" s="119">
        <f t="shared" si="1"/>
        <v>536</v>
      </c>
      <c r="L10" s="83">
        <f t="shared" si="2"/>
        <v>61.37</v>
      </c>
      <c r="M10" s="83">
        <f t="shared" si="3"/>
        <v>62.44</v>
      </c>
      <c r="N10" s="63">
        <v>51</v>
      </c>
      <c r="O10" s="102"/>
      <c r="P10" s="284">
        <v>63.5</v>
      </c>
      <c r="Q10" s="63"/>
      <c r="R10" s="120">
        <f t="shared" si="4"/>
        <v>124.87</v>
      </c>
      <c r="S10" s="284">
        <f>536*3/6</f>
        <v>268</v>
      </c>
      <c r="T10" s="140">
        <f t="shared" si="5"/>
        <v>143.13</v>
      </c>
      <c r="U10" s="63"/>
      <c r="V10" s="123" t="s">
        <v>210</v>
      </c>
      <c r="W10" s="126" t="s">
        <v>205</v>
      </c>
      <c r="X10">
        <v>1410036</v>
      </c>
    </row>
    <row r="11" spans="1:24" ht="28.8" customHeight="1" x14ac:dyDescent="0.3">
      <c r="A11" s="71" t="s">
        <v>330</v>
      </c>
      <c r="B11" s="71">
        <v>2023</v>
      </c>
      <c r="C11" s="96">
        <v>1500367295</v>
      </c>
      <c r="D11" s="64" t="s">
        <v>166</v>
      </c>
      <c r="E11" s="65" t="s">
        <v>171</v>
      </c>
      <c r="F11" s="63">
        <v>536</v>
      </c>
      <c r="G11" s="63">
        <v>30</v>
      </c>
      <c r="H11" s="72">
        <f t="shared" si="0"/>
        <v>536</v>
      </c>
      <c r="I11" s="72"/>
      <c r="J11" s="63"/>
      <c r="K11" s="119">
        <f t="shared" si="1"/>
        <v>536</v>
      </c>
      <c r="L11" s="83">
        <f t="shared" si="2"/>
        <v>61.37</v>
      </c>
      <c r="M11" s="83">
        <f t="shared" si="3"/>
        <v>62.44</v>
      </c>
      <c r="N11" s="63">
        <v>51</v>
      </c>
      <c r="O11" s="102"/>
      <c r="P11" s="284">
        <v>85</v>
      </c>
      <c r="Q11" s="63"/>
      <c r="R11" s="120">
        <f>L11+O11+P11+Q11</f>
        <v>146.37</v>
      </c>
      <c r="S11" s="284">
        <f>536*3/6</f>
        <v>268</v>
      </c>
      <c r="T11" s="140">
        <f>+K11-R11-S11</f>
        <v>121.63</v>
      </c>
      <c r="U11" s="63"/>
      <c r="V11" s="123">
        <v>4005110329</v>
      </c>
      <c r="W11" s="126" t="s">
        <v>205</v>
      </c>
      <c r="X11">
        <v>1410036</v>
      </c>
    </row>
    <row r="12" spans="1:24" ht="28.8" customHeight="1" x14ac:dyDescent="0.3">
      <c r="A12" s="71" t="s">
        <v>330</v>
      </c>
      <c r="B12" s="71">
        <v>2023</v>
      </c>
      <c r="C12" s="97">
        <v>1500814940</v>
      </c>
      <c r="D12" s="66" t="s">
        <v>167</v>
      </c>
      <c r="E12" s="65" t="s">
        <v>172</v>
      </c>
      <c r="F12" s="63">
        <v>536</v>
      </c>
      <c r="G12" s="63">
        <v>30</v>
      </c>
      <c r="H12" s="72">
        <f t="shared" si="0"/>
        <v>536</v>
      </c>
      <c r="I12" s="72"/>
      <c r="J12" s="63"/>
      <c r="K12" s="119">
        <f t="shared" si="1"/>
        <v>536</v>
      </c>
      <c r="L12" s="83">
        <f t="shared" si="2"/>
        <v>61.37</v>
      </c>
      <c r="M12" s="83">
        <f t="shared" si="3"/>
        <v>62.44</v>
      </c>
      <c r="N12" s="63">
        <v>51</v>
      </c>
      <c r="O12" s="102"/>
      <c r="P12" s="284">
        <v>242</v>
      </c>
      <c r="Q12" s="63"/>
      <c r="R12" s="120">
        <f t="shared" si="4"/>
        <v>303.37</v>
      </c>
      <c r="S12" s="289">
        <f>536*3/7</f>
        <v>229.71428571428572</v>
      </c>
      <c r="T12" s="140">
        <f>+K12-R12-S12</f>
        <v>2.915714285714273</v>
      </c>
      <c r="U12" s="63"/>
      <c r="V12" s="123" t="s">
        <v>286</v>
      </c>
      <c r="W12" s="126" t="s">
        <v>209</v>
      </c>
      <c r="X12">
        <v>1600022</v>
      </c>
    </row>
    <row r="13" spans="1:24" ht="28.8" customHeight="1" x14ac:dyDescent="0.3">
      <c r="A13" s="71" t="s">
        <v>330</v>
      </c>
      <c r="B13" s="71">
        <v>2023</v>
      </c>
      <c r="C13" s="98" t="s">
        <v>200</v>
      </c>
      <c r="D13" s="67" t="s">
        <v>168</v>
      </c>
      <c r="E13" s="68" t="s">
        <v>173</v>
      </c>
      <c r="F13" s="63">
        <v>733</v>
      </c>
      <c r="G13" s="63">
        <v>30</v>
      </c>
      <c r="H13" s="72">
        <f t="shared" si="0"/>
        <v>733</v>
      </c>
      <c r="I13" s="72"/>
      <c r="J13" s="63"/>
      <c r="K13" s="119">
        <f t="shared" si="1"/>
        <v>733</v>
      </c>
      <c r="L13" s="83">
        <f t="shared" si="2"/>
        <v>83.93</v>
      </c>
      <c r="M13" s="83">
        <f t="shared" si="3"/>
        <v>85.39</v>
      </c>
      <c r="N13" s="63">
        <v>51</v>
      </c>
      <c r="O13" s="63"/>
      <c r="P13" s="63"/>
      <c r="Q13" s="63"/>
      <c r="R13" s="120">
        <f t="shared" si="4"/>
        <v>83.93</v>
      </c>
      <c r="S13" s="63"/>
      <c r="T13" s="140">
        <f t="shared" si="5"/>
        <v>649.06999999999994</v>
      </c>
      <c r="U13" s="63"/>
      <c r="V13" s="123" t="s">
        <v>208</v>
      </c>
      <c r="W13" s="126" t="s">
        <v>209</v>
      </c>
      <c r="X13">
        <v>1600022</v>
      </c>
    </row>
    <row r="14" spans="1:24" ht="28.8" customHeight="1" x14ac:dyDescent="0.3">
      <c r="A14" s="327" t="s">
        <v>185</v>
      </c>
      <c r="B14" s="328"/>
      <c r="C14" s="328"/>
      <c r="D14" s="328"/>
      <c r="E14" s="329"/>
      <c r="F14" s="149">
        <f>SUM(F8:F13)</f>
        <v>4217</v>
      </c>
      <c r="G14" s="149">
        <f t="shared" ref="G14:S14" si="6">SUM(G8:G13)</f>
        <v>180</v>
      </c>
      <c r="H14" s="149">
        <f t="shared" si="6"/>
        <v>4217</v>
      </c>
      <c r="I14" s="149">
        <f t="shared" si="6"/>
        <v>0</v>
      </c>
      <c r="J14" s="149">
        <f t="shared" si="6"/>
        <v>0</v>
      </c>
      <c r="K14" s="149">
        <f t="shared" si="6"/>
        <v>4217</v>
      </c>
      <c r="L14" s="149">
        <f t="shared" si="6"/>
        <v>482.84000000000003</v>
      </c>
      <c r="M14" s="149">
        <f t="shared" si="6"/>
        <v>491.26</v>
      </c>
      <c r="N14" s="149">
        <f t="shared" si="6"/>
        <v>306</v>
      </c>
      <c r="O14" s="149">
        <f t="shared" si="6"/>
        <v>187</v>
      </c>
      <c r="P14" s="149">
        <f t="shared" si="6"/>
        <v>390.5</v>
      </c>
      <c r="Q14" s="149">
        <f t="shared" si="6"/>
        <v>0</v>
      </c>
      <c r="R14" s="150">
        <f t="shared" si="6"/>
        <v>1060.3400000000001</v>
      </c>
      <c r="S14" s="149">
        <f t="shared" si="6"/>
        <v>1327.2380952380954</v>
      </c>
      <c r="T14" s="155">
        <f>SUM(T8:T13)</f>
        <v>1829.4219047619047</v>
      </c>
      <c r="U14" s="93"/>
      <c r="W14" s="180"/>
    </row>
    <row r="15" spans="1:24" x14ac:dyDescent="0.3">
      <c r="A15" s="69"/>
      <c r="B15" s="69"/>
      <c r="C15" s="80"/>
      <c r="D15" s="81"/>
      <c r="E15" s="82"/>
      <c r="F15" s="2"/>
      <c r="G15" s="2"/>
      <c r="H15" s="70"/>
      <c r="I15" s="2"/>
      <c r="J15" s="2"/>
      <c r="K15" s="2"/>
      <c r="L15" s="159">
        <f>H12*11.45%</f>
        <v>61.371999999999993</v>
      </c>
      <c r="M15" s="2"/>
      <c r="N15" s="2"/>
      <c r="O15" s="2"/>
      <c r="P15" s="2"/>
      <c r="Q15" s="2"/>
      <c r="R15" s="2"/>
      <c r="S15" s="2"/>
      <c r="T15" s="2"/>
      <c r="U15" s="2"/>
      <c r="W15" s="262"/>
    </row>
    <row r="16" spans="1:24" x14ac:dyDescent="0.3">
      <c r="A16" s="69"/>
      <c r="B16" s="69"/>
      <c r="C16" s="80"/>
      <c r="D16" s="81"/>
      <c r="E16" s="330" t="s">
        <v>28</v>
      </c>
      <c r="F16" s="330"/>
      <c r="G16" s="330"/>
      <c r="H16" s="84"/>
      <c r="I16" s="85"/>
      <c r="J16" s="85"/>
      <c r="K16" s="86"/>
      <c r="L16" s="330" t="s">
        <v>187</v>
      </c>
      <c r="M16" s="330"/>
      <c r="N16" s="330"/>
      <c r="O16" s="330"/>
      <c r="P16" s="330"/>
      <c r="Q16" s="330"/>
      <c r="R16" s="2"/>
      <c r="S16" s="2"/>
      <c r="T16" s="2"/>
      <c r="U16" s="2"/>
      <c r="W16" s="180"/>
    </row>
    <row r="17" spans="1:24" x14ac:dyDescent="0.3">
      <c r="A17" s="69"/>
      <c r="B17" s="69"/>
      <c r="C17" s="80"/>
      <c r="D17" s="81"/>
      <c r="E17" s="281"/>
      <c r="F17" s="281"/>
      <c r="G17" s="281"/>
      <c r="H17" s="84"/>
      <c r="I17" s="85"/>
      <c r="J17" s="85"/>
      <c r="K17" s="86"/>
      <c r="L17" s="281"/>
      <c r="M17" s="281"/>
      <c r="N17" s="281"/>
      <c r="O17" s="281"/>
      <c r="P17" s="281"/>
      <c r="Q17" s="281"/>
      <c r="R17" s="2"/>
      <c r="S17" s="2"/>
      <c r="T17" s="2"/>
      <c r="U17" s="2"/>
      <c r="W17" s="263"/>
    </row>
    <row r="18" spans="1:24" x14ac:dyDescent="0.3">
      <c r="E18" s="145"/>
      <c r="F18" s="146"/>
      <c r="G18" s="145"/>
      <c r="H18" s="146"/>
      <c r="I18" s="85"/>
      <c r="J18" s="85"/>
      <c r="K18" s="88"/>
      <c r="L18" s="88"/>
      <c r="M18" s="88"/>
      <c r="N18" s="88"/>
      <c r="O18" s="88"/>
      <c r="P18" s="89"/>
      <c r="Q18" s="89"/>
      <c r="W18" s="180"/>
    </row>
    <row r="19" spans="1:24" x14ac:dyDescent="0.3">
      <c r="E19" s="317" t="s">
        <v>188</v>
      </c>
      <c r="F19" s="317"/>
      <c r="G19" s="317"/>
      <c r="H19" s="317"/>
      <c r="I19" s="85"/>
      <c r="J19" s="85"/>
      <c r="K19" s="88"/>
      <c r="L19" s="331" t="s">
        <v>189</v>
      </c>
      <c r="M19" s="331"/>
      <c r="N19" s="331"/>
      <c r="O19" s="331"/>
      <c r="P19" s="331"/>
      <c r="Q19" s="331"/>
    </row>
    <row r="20" spans="1:24" x14ac:dyDescent="0.3">
      <c r="E20" s="316" t="s">
        <v>238</v>
      </c>
      <c r="F20" s="316"/>
      <c r="G20" s="316"/>
      <c r="H20" s="316"/>
      <c r="L20" s="316" t="s">
        <v>237</v>
      </c>
      <c r="M20" s="316"/>
      <c r="N20" s="316"/>
      <c r="O20" s="316"/>
      <c r="P20" s="316"/>
      <c r="Q20" s="316"/>
    </row>
    <row r="21" spans="1:24" ht="16.2" thickBot="1" x14ac:dyDescent="0.35">
      <c r="E21" s="280"/>
      <c r="F21" s="280"/>
      <c r="G21" s="280"/>
      <c r="H21" s="84"/>
      <c r="I21" s="85"/>
      <c r="J21" s="85"/>
      <c r="K21" s="88"/>
      <c r="L21" s="280"/>
      <c r="M21" s="280"/>
      <c r="N21" s="280"/>
      <c r="O21" s="280"/>
      <c r="P21" s="280"/>
      <c r="Q21" s="280"/>
    </row>
    <row r="22" spans="1:24" ht="25.2" customHeight="1" x14ac:dyDescent="0.3">
      <c r="A22" s="294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6"/>
    </row>
    <row r="23" spans="1:24" x14ac:dyDescent="0.3">
      <c r="A23" s="307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9"/>
    </row>
    <row r="24" spans="1:24" x14ac:dyDescent="0.3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9"/>
    </row>
    <row r="25" spans="1:24" x14ac:dyDescent="0.3">
      <c r="A25" s="307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9"/>
    </row>
    <row r="26" spans="1:24" ht="16.2" thickBot="1" x14ac:dyDescent="0.35">
      <c r="A26" s="307"/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9"/>
    </row>
    <row r="27" spans="1:24" ht="18.600000000000001" thickBot="1" x14ac:dyDescent="0.4">
      <c r="A27" s="321" t="s">
        <v>328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3"/>
    </row>
    <row r="28" spans="1:24" ht="57.6" x14ac:dyDescent="0.3">
      <c r="A28" s="108" t="s">
        <v>143</v>
      </c>
      <c r="B28" s="109" t="s">
        <v>144</v>
      </c>
      <c r="C28" s="109" t="s">
        <v>145</v>
      </c>
      <c r="D28" s="109" t="s">
        <v>146</v>
      </c>
      <c r="E28" s="109" t="s">
        <v>147</v>
      </c>
      <c r="F28" s="109" t="s">
        <v>148</v>
      </c>
      <c r="G28" s="109" t="s">
        <v>151</v>
      </c>
      <c r="H28" s="109" t="s">
        <v>174</v>
      </c>
      <c r="I28" s="109" t="s">
        <v>149</v>
      </c>
      <c r="J28" s="109" t="s">
        <v>150</v>
      </c>
      <c r="K28" s="109" t="s">
        <v>152</v>
      </c>
      <c r="L28" s="109" t="s">
        <v>153</v>
      </c>
      <c r="M28" s="109" t="s">
        <v>197</v>
      </c>
      <c r="N28" s="109" t="s">
        <v>155</v>
      </c>
      <c r="O28" s="109" t="s">
        <v>305</v>
      </c>
      <c r="P28" s="109" t="s">
        <v>157</v>
      </c>
      <c r="Q28" s="109" t="s">
        <v>158</v>
      </c>
      <c r="R28" s="109" t="s">
        <v>159</v>
      </c>
      <c r="S28" s="109" t="s">
        <v>160</v>
      </c>
      <c r="T28" s="109" t="s">
        <v>13</v>
      </c>
      <c r="U28" s="115" t="s">
        <v>161</v>
      </c>
      <c r="V28" s="131" t="s">
        <v>220</v>
      </c>
      <c r="W28" s="132" t="s">
        <v>229</v>
      </c>
      <c r="X28" s="133" t="s">
        <v>219</v>
      </c>
    </row>
    <row r="29" spans="1:24" ht="31.2" customHeight="1" x14ac:dyDescent="0.3">
      <c r="A29" s="220" t="s">
        <v>330</v>
      </c>
      <c r="B29" s="220">
        <v>2023</v>
      </c>
      <c r="C29" s="223" t="s">
        <v>179</v>
      </c>
      <c r="D29" s="223" t="s">
        <v>178</v>
      </c>
      <c r="E29" s="223" t="s">
        <v>183</v>
      </c>
      <c r="F29" s="225">
        <v>553</v>
      </c>
      <c r="G29" s="220">
        <v>30</v>
      </c>
      <c r="H29" s="226">
        <f>ROUND(F29/30*G29,2)</f>
        <v>553</v>
      </c>
      <c r="I29" s="220"/>
      <c r="J29" s="220"/>
      <c r="K29" s="227">
        <f>ROUND(H29+I29+J29,2)</f>
        <v>553</v>
      </c>
      <c r="L29" s="226">
        <f>F29*9.45%</f>
        <v>52.258499999999991</v>
      </c>
      <c r="M29" s="226">
        <f>F29*12.15%</f>
        <v>67.189499999999995</v>
      </c>
      <c r="N29" s="220">
        <v>71</v>
      </c>
      <c r="O29" s="285">
        <v>225</v>
      </c>
      <c r="P29" s="228"/>
      <c r="Q29" s="228"/>
      <c r="R29" s="226">
        <f t="shared" ref="R29:R37" si="7">L29+O29+P29+Q29</f>
        <v>277.25849999999997</v>
      </c>
      <c r="S29" s="285">
        <v>250</v>
      </c>
      <c r="T29" s="229">
        <f t="shared" ref="T29:T37" si="8">K29-R29-S29</f>
        <v>25.74150000000003</v>
      </c>
      <c r="U29" s="230"/>
      <c r="V29" s="123" t="s">
        <v>254</v>
      </c>
      <c r="W29" s="123" t="s">
        <v>209</v>
      </c>
      <c r="X29" s="231">
        <v>1600022</v>
      </c>
    </row>
    <row r="30" spans="1:24" ht="31.2" customHeight="1" x14ac:dyDescent="0.3">
      <c r="A30" s="220" t="s">
        <v>330</v>
      </c>
      <c r="B30" s="220">
        <v>2023</v>
      </c>
      <c r="C30" s="223" t="s">
        <v>77</v>
      </c>
      <c r="D30" s="223" t="s">
        <v>73</v>
      </c>
      <c r="E30" s="223" t="s">
        <v>74</v>
      </c>
      <c r="F30" s="225">
        <v>708</v>
      </c>
      <c r="G30" s="220">
        <v>30</v>
      </c>
      <c r="H30" s="226">
        <f t="shared" ref="H30:H37" si="9">ROUND(F30/30*G30,2)</f>
        <v>708</v>
      </c>
      <c r="I30" s="220"/>
      <c r="J30" s="220"/>
      <c r="K30" s="232">
        <f t="shared" ref="K30:K35" si="10">ROUND(H30+I30+J30,2)</f>
        <v>708</v>
      </c>
      <c r="L30" s="226">
        <f t="shared" ref="L30:L36" si="11">F30*9.45%</f>
        <v>66.905999999999992</v>
      </c>
      <c r="M30" s="226">
        <f t="shared" ref="M30:M37" si="12">F30*12.15%</f>
        <v>86.021999999999991</v>
      </c>
      <c r="N30" s="220">
        <v>71</v>
      </c>
      <c r="O30" s="228"/>
      <c r="P30" s="228"/>
      <c r="Q30" s="228"/>
      <c r="R30" s="226">
        <f t="shared" si="7"/>
        <v>66.905999999999992</v>
      </c>
      <c r="S30" s="286">
        <f>1416/9</f>
        <v>157.33333333333334</v>
      </c>
      <c r="T30" s="229">
        <f t="shared" si="8"/>
        <v>483.76066666666668</v>
      </c>
      <c r="U30" s="230"/>
      <c r="V30" s="123" t="s">
        <v>221</v>
      </c>
      <c r="W30" s="123" t="s">
        <v>205</v>
      </c>
      <c r="X30" s="231">
        <v>1410036</v>
      </c>
    </row>
    <row r="31" spans="1:24" ht="36.6" customHeight="1" x14ac:dyDescent="0.3">
      <c r="A31" s="220" t="s">
        <v>330</v>
      </c>
      <c r="B31" s="220">
        <v>2023</v>
      </c>
      <c r="C31" s="223" t="s">
        <v>79</v>
      </c>
      <c r="D31" s="223" t="s">
        <v>78</v>
      </c>
      <c r="E31" s="223" t="s">
        <v>184</v>
      </c>
      <c r="F31" s="225">
        <v>566</v>
      </c>
      <c r="G31" s="220">
        <v>30</v>
      </c>
      <c r="H31" s="226">
        <f t="shared" si="9"/>
        <v>566</v>
      </c>
      <c r="I31" s="220"/>
      <c r="J31" s="220"/>
      <c r="K31" s="232">
        <f t="shared" si="10"/>
        <v>566</v>
      </c>
      <c r="L31" s="226">
        <f t="shared" si="11"/>
        <v>53.486999999999995</v>
      </c>
      <c r="M31" s="226">
        <f t="shared" si="12"/>
        <v>68.768999999999991</v>
      </c>
      <c r="N31" s="220">
        <v>71</v>
      </c>
      <c r="O31" s="286">
        <v>37.44</v>
      </c>
      <c r="P31" s="228"/>
      <c r="Q31" s="228"/>
      <c r="R31" s="226">
        <f t="shared" si="7"/>
        <v>90.926999999999992</v>
      </c>
      <c r="S31" s="285">
        <f>1698/6</f>
        <v>283</v>
      </c>
      <c r="T31" s="229">
        <f t="shared" si="8"/>
        <v>192.07299999999998</v>
      </c>
      <c r="U31" s="230"/>
      <c r="V31" s="123" t="s">
        <v>228</v>
      </c>
      <c r="W31" s="123" t="s">
        <v>209</v>
      </c>
      <c r="X31" s="231">
        <v>1600022</v>
      </c>
    </row>
    <row r="32" spans="1:24" ht="31.2" customHeight="1" x14ac:dyDescent="0.3">
      <c r="A32" s="220" t="s">
        <v>330</v>
      </c>
      <c r="B32" s="220">
        <v>2023</v>
      </c>
      <c r="C32" s="223">
        <v>1712044146</v>
      </c>
      <c r="D32" s="223" t="s">
        <v>69</v>
      </c>
      <c r="E32" s="223" t="s">
        <v>66</v>
      </c>
      <c r="F32" s="225">
        <v>584</v>
      </c>
      <c r="G32" s="220">
        <v>30</v>
      </c>
      <c r="H32" s="226">
        <f t="shared" si="9"/>
        <v>584</v>
      </c>
      <c r="I32" s="220"/>
      <c r="J32" s="220"/>
      <c r="K32" s="232">
        <f t="shared" si="10"/>
        <v>584</v>
      </c>
      <c r="L32" s="226">
        <f t="shared" si="11"/>
        <v>55.187999999999995</v>
      </c>
      <c r="M32" s="226">
        <f t="shared" si="12"/>
        <v>70.956000000000003</v>
      </c>
      <c r="N32" s="220">
        <v>71</v>
      </c>
      <c r="O32" s="285">
        <f>28.64+35.21</f>
        <v>63.85</v>
      </c>
      <c r="P32" s="228"/>
      <c r="Q32" s="285">
        <f>66.46+66.46</f>
        <v>132.91999999999999</v>
      </c>
      <c r="R32" s="226">
        <f t="shared" si="7"/>
        <v>251.95799999999997</v>
      </c>
      <c r="S32" s="285">
        <f>1752/6</f>
        <v>292</v>
      </c>
      <c r="T32" s="229">
        <f t="shared" si="8"/>
        <v>40.04200000000003</v>
      </c>
      <c r="U32" s="230"/>
      <c r="V32" s="123" t="s">
        <v>222</v>
      </c>
      <c r="W32" s="123" t="s">
        <v>209</v>
      </c>
      <c r="X32" s="231">
        <v>1600022</v>
      </c>
    </row>
    <row r="33" spans="1:24" ht="31.2" customHeight="1" x14ac:dyDescent="0.3">
      <c r="A33" s="220" t="s">
        <v>330</v>
      </c>
      <c r="B33" s="220">
        <v>2023</v>
      </c>
      <c r="C33" s="223" t="s">
        <v>89</v>
      </c>
      <c r="D33" s="223" t="s">
        <v>88</v>
      </c>
      <c r="E33" s="223" t="s">
        <v>90</v>
      </c>
      <c r="F33" s="225">
        <v>527</v>
      </c>
      <c r="G33" s="220">
        <v>30</v>
      </c>
      <c r="H33" s="226">
        <f t="shared" si="9"/>
        <v>527</v>
      </c>
      <c r="I33" s="220"/>
      <c r="J33" s="220"/>
      <c r="K33" s="232">
        <f>ROUND(H33+I33+J33,2)</f>
        <v>527</v>
      </c>
      <c r="L33" s="226">
        <f t="shared" si="11"/>
        <v>49.80149999999999</v>
      </c>
      <c r="M33" s="226">
        <f t="shared" si="12"/>
        <v>64.030500000000004</v>
      </c>
      <c r="N33" s="220">
        <v>71</v>
      </c>
      <c r="O33" s="228"/>
      <c r="P33" s="228"/>
      <c r="Q33" s="228"/>
      <c r="R33" s="226">
        <f t="shared" si="7"/>
        <v>49.80149999999999</v>
      </c>
      <c r="S33" s="286"/>
      <c r="T33" s="229">
        <f t="shared" si="8"/>
        <v>477.19850000000002</v>
      </c>
      <c r="U33" s="230"/>
      <c r="V33" s="123" t="s">
        <v>218</v>
      </c>
      <c r="W33" s="123" t="s">
        <v>205</v>
      </c>
      <c r="X33" s="231">
        <v>1410036</v>
      </c>
    </row>
    <row r="34" spans="1:24" ht="31.2" customHeight="1" x14ac:dyDescent="0.3">
      <c r="A34" s="220" t="s">
        <v>330</v>
      </c>
      <c r="B34" s="220">
        <v>2023</v>
      </c>
      <c r="C34" s="223" t="s">
        <v>181</v>
      </c>
      <c r="D34" s="223" t="s">
        <v>95</v>
      </c>
      <c r="E34" s="223" t="s">
        <v>87</v>
      </c>
      <c r="F34" s="225">
        <v>500</v>
      </c>
      <c r="G34" s="220">
        <v>30</v>
      </c>
      <c r="H34" s="226">
        <f t="shared" si="9"/>
        <v>500</v>
      </c>
      <c r="I34" s="220"/>
      <c r="J34" s="220"/>
      <c r="K34" s="232">
        <f t="shared" si="10"/>
        <v>500</v>
      </c>
      <c r="L34" s="226">
        <f t="shared" si="11"/>
        <v>47.249999999999993</v>
      </c>
      <c r="M34" s="226">
        <f t="shared" si="12"/>
        <v>60.75</v>
      </c>
      <c r="N34" s="220">
        <v>71</v>
      </c>
      <c r="O34" s="266"/>
      <c r="P34" s="228"/>
      <c r="Q34" s="228"/>
      <c r="R34" s="226">
        <f t="shared" si="7"/>
        <v>47.249999999999993</v>
      </c>
      <c r="S34" s="285">
        <v>250</v>
      </c>
      <c r="T34" s="229">
        <f t="shared" si="8"/>
        <v>202.75</v>
      </c>
      <c r="U34" s="230"/>
      <c r="V34" s="123" t="s">
        <v>216</v>
      </c>
      <c r="W34" s="123" t="s">
        <v>217</v>
      </c>
      <c r="X34" s="231">
        <v>1700427</v>
      </c>
    </row>
    <row r="35" spans="1:24" ht="31.2" customHeight="1" x14ac:dyDescent="0.3">
      <c r="A35" s="220" t="s">
        <v>330</v>
      </c>
      <c r="B35" s="220">
        <v>2023</v>
      </c>
      <c r="C35" s="223" t="s">
        <v>182</v>
      </c>
      <c r="D35" s="223" t="s">
        <v>65</v>
      </c>
      <c r="E35" s="223" t="s">
        <v>66</v>
      </c>
      <c r="F35" s="219">
        <v>614</v>
      </c>
      <c r="G35" s="220">
        <v>30</v>
      </c>
      <c r="H35" s="226">
        <f t="shared" si="9"/>
        <v>614</v>
      </c>
      <c r="I35" s="233"/>
      <c r="J35" s="233"/>
      <c r="K35" s="232">
        <f t="shared" si="10"/>
        <v>614</v>
      </c>
      <c r="L35" s="226">
        <f t="shared" si="11"/>
        <v>58.022999999999989</v>
      </c>
      <c r="M35" s="226">
        <f t="shared" si="12"/>
        <v>74.600999999999999</v>
      </c>
      <c r="N35" s="233">
        <v>71</v>
      </c>
      <c r="O35" s="233"/>
      <c r="P35" s="233"/>
      <c r="Q35" s="233"/>
      <c r="R35" s="234">
        <f t="shared" si="7"/>
        <v>58.022999999999989</v>
      </c>
      <c r="S35" s="287">
        <f>1698/10</f>
        <v>169.8</v>
      </c>
      <c r="T35" s="229">
        <f t="shared" si="8"/>
        <v>386.17699999999996</v>
      </c>
      <c r="U35" s="230"/>
      <c r="V35" s="123" t="s">
        <v>223</v>
      </c>
      <c r="W35" s="123" t="s">
        <v>224</v>
      </c>
      <c r="X35" s="231">
        <v>1700027</v>
      </c>
    </row>
    <row r="36" spans="1:24" ht="31.2" customHeight="1" x14ac:dyDescent="0.3">
      <c r="A36" s="220" t="s">
        <v>330</v>
      </c>
      <c r="B36" s="220">
        <v>2023</v>
      </c>
      <c r="C36" s="236" t="s">
        <v>290</v>
      </c>
      <c r="D36" s="223" t="s">
        <v>291</v>
      </c>
      <c r="E36" s="223" t="s">
        <v>292</v>
      </c>
      <c r="F36" s="237">
        <v>708</v>
      </c>
      <c r="G36" s="220">
        <v>30</v>
      </c>
      <c r="H36" s="226">
        <f t="shared" si="9"/>
        <v>708</v>
      </c>
      <c r="I36" s="238"/>
      <c r="J36" s="238"/>
      <c r="K36" s="232">
        <f>ROUND(H36+I36+J36,2)</f>
        <v>708</v>
      </c>
      <c r="L36" s="226">
        <f t="shared" si="11"/>
        <v>66.905999999999992</v>
      </c>
      <c r="M36" s="226">
        <f t="shared" si="12"/>
        <v>86.021999999999991</v>
      </c>
      <c r="N36" s="233">
        <v>71</v>
      </c>
      <c r="O36" s="233"/>
      <c r="P36" s="233"/>
      <c r="Q36" s="233"/>
      <c r="R36" s="234">
        <f t="shared" si="7"/>
        <v>66.905999999999992</v>
      </c>
      <c r="S36" s="253"/>
      <c r="T36" s="229">
        <f t="shared" si="8"/>
        <v>641.09400000000005</v>
      </c>
      <c r="U36" s="230"/>
      <c r="V36" s="123" t="s">
        <v>293</v>
      </c>
      <c r="W36" s="123" t="s">
        <v>209</v>
      </c>
      <c r="X36" s="231">
        <v>1600022</v>
      </c>
    </row>
    <row r="37" spans="1:24" ht="31.2" customHeight="1" x14ac:dyDescent="0.3">
      <c r="A37" s="220" t="s">
        <v>330</v>
      </c>
      <c r="B37" s="222">
        <v>2023</v>
      </c>
      <c r="C37" s="223">
        <v>2100854088</v>
      </c>
      <c r="D37" s="224" t="s">
        <v>312</v>
      </c>
      <c r="E37" s="224" t="s">
        <v>66</v>
      </c>
      <c r="F37" s="221">
        <v>566</v>
      </c>
      <c r="G37" s="222">
        <v>30</v>
      </c>
      <c r="H37" s="226">
        <f t="shared" si="9"/>
        <v>566</v>
      </c>
      <c r="I37" s="238"/>
      <c r="J37" s="238"/>
      <c r="K37" s="232">
        <f>ROUND(H37+I37+J37,2)</f>
        <v>566</v>
      </c>
      <c r="L37" s="226">
        <f>F37*9.45%</f>
        <v>53.486999999999995</v>
      </c>
      <c r="M37" s="226">
        <f t="shared" si="12"/>
        <v>68.768999999999991</v>
      </c>
      <c r="N37" s="233">
        <v>71</v>
      </c>
      <c r="O37" s="233"/>
      <c r="P37" s="265"/>
      <c r="Q37" s="233"/>
      <c r="R37" s="234">
        <f t="shared" si="7"/>
        <v>53.486999999999995</v>
      </c>
      <c r="S37" s="253"/>
      <c r="T37" s="229">
        <f t="shared" si="8"/>
        <v>512.51300000000003</v>
      </c>
      <c r="U37" s="230"/>
      <c r="V37" s="123" t="s">
        <v>313</v>
      </c>
      <c r="W37" s="123" t="s">
        <v>209</v>
      </c>
      <c r="X37" s="231">
        <v>1600022</v>
      </c>
    </row>
    <row r="38" spans="1:24" x14ac:dyDescent="0.3">
      <c r="A38" s="327" t="s">
        <v>185</v>
      </c>
      <c r="B38" s="328"/>
      <c r="C38" s="328"/>
      <c r="D38" s="328"/>
      <c r="E38" s="329"/>
      <c r="F38" s="151">
        <f>SUM(F29:F35)</f>
        <v>4052</v>
      </c>
      <c r="G38" s="151">
        <f t="shared" ref="G38:S38" si="13">SUM(G29:G35)</f>
        <v>210</v>
      </c>
      <c r="H38" s="151">
        <f t="shared" si="13"/>
        <v>4052</v>
      </c>
      <c r="I38" s="151">
        <f t="shared" si="13"/>
        <v>0</v>
      </c>
      <c r="J38" s="151">
        <f t="shared" si="13"/>
        <v>0</v>
      </c>
      <c r="K38" s="151">
        <f t="shared" si="13"/>
        <v>4052</v>
      </c>
      <c r="L38" s="151">
        <f t="shared" si="13"/>
        <v>382.91399999999993</v>
      </c>
      <c r="M38" s="151">
        <f t="shared" si="13"/>
        <v>492.31800000000004</v>
      </c>
      <c r="N38" s="151"/>
      <c r="O38" s="151">
        <f t="shared" si="13"/>
        <v>326.29000000000002</v>
      </c>
      <c r="P38" s="151">
        <f t="shared" si="13"/>
        <v>0</v>
      </c>
      <c r="Q38" s="151">
        <f t="shared" si="13"/>
        <v>132.91999999999999</v>
      </c>
      <c r="R38" s="151">
        <f t="shared" si="13"/>
        <v>842.12400000000002</v>
      </c>
      <c r="S38" s="151">
        <f t="shared" si="13"/>
        <v>1402.1333333333334</v>
      </c>
      <c r="T38" s="156">
        <f>SUM(T29:T37)</f>
        <v>2961.349666666667</v>
      </c>
      <c r="U38" s="79"/>
    </row>
    <row r="41" spans="1:24" x14ac:dyDescent="0.3">
      <c r="C41">
        <f>225.86*4</f>
        <v>903.44</v>
      </c>
      <c r="E41" s="330" t="s">
        <v>28</v>
      </c>
      <c r="F41" s="330"/>
      <c r="G41" s="330"/>
      <c r="H41" s="84"/>
      <c r="I41" s="85"/>
      <c r="J41" s="85"/>
      <c r="K41" s="86"/>
      <c r="L41" s="330" t="s">
        <v>187</v>
      </c>
      <c r="M41" s="330"/>
      <c r="N41" s="330"/>
      <c r="O41" s="330"/>
      <c r="P41" s="330"/>
      <c r="Q41" s="330"/>
      <c r="U41" s="268">
        <f>T38+T14+T63</f>
        <v>6865.4160714285717</v>
      </c>
    </row>
    <row r="42" spans="1:24" x14ac:dyDescent="0.3">
      <c r="E42" s="281"/>
      <c r="F42" s="281"/>
      <c r="G42" s="281"/>
      <c r="H42" s="84"/>
      <c r="I42" s="85"/>
      <c r="J42" s="85"/>
      <c r="K42" s="86"/>
      <c r="L42" s="281"/>
      <c r="M42" s="281"/>
      <c r="N42" s="281"/>
      <c r="O42" s="281"/>
      <c r="P42" s="281"/>
      <c r="Q42" s="281"/>
    </row>
    <row r="43" spans="1:24" x14ac:dyDescent="0.3">
      <c r="E43" s="145"/>
      <c r="F43" s="146"/>
      <c r="G43" s="145"/>
      <c r="H43" s="146"/>
      <c r="I43" s="85"/>
      <c r="J43" s="85"/>
      <c r="K43" s="88"/>
      <c r="L43" s="88"/>
      <c r="M43" s="88"/>
      <c r="N43" s="88"/>
      <c r="O43" s="88"/>
      <c r="P43" s="89"/>
      <c r="Q43" s="89"/>
    </row>
    <row r="44" spans="1:24" x14ac:dyDescent="0.3">
      <c r="E44" s="317" t="s">
        <v>188</v>
      </c>
      <c r="F44" s="317"/>
      <c r="G44" s="317"/>
      <c r="H44" s="317"/>
      <c r="I44" s="85"/>
      <c r="J44" s="85"/>
      <c r="K44" s="88"/>
      <c r="L44" s="331" t="s">
        <v>189</v>
      </c>
      <c r="M44" s="331"/>
      <c r="N44" s="331"/>
      <c r="O44" s="331"/>
      <c r="P44" s="331"/>
      <c r="Q44" s="331"/>
    </row>
    <row r="45" spans="1:24" x14ac:dyDescent="0.3">
      <c r="E45" s="316" t="s">
        <v>238</v>
      </c>
      <c r="F45" s="316"/>
      <c r="G45" s="316"/>
      <c r="H45" s="316"/>
      <c r="L45" s="316" t="s">
        <v>237</v>
      </c>
      <c r="M45" s="316"/>
      <c r="N45" s="316"/>
      <c r="O45" s="316"/>
      <c r="P45" s="316"/>
      <c r="Q45" s="316"/>
    </row>
    <row r="52" spans="1:24" ht="15.6" customHeight="1" thickBot="1" x14ac:dyDescent="0.35"/>
    <row r="53" spans="1:24" ht="15.6" customHeight="1" x14ac:dyDescent="0.3">
      <c r="A53" s="294"/>
      <c r="B53" s="295"/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6"/>
    </row>
    <row r="54" spans="1:24" ht="15.6" customHeight="1" x14ac:dyDescent="0.3">
      <c r="A54" s="307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9"/>
    </row>
    <row r="55" spans="1:24" ht="15.6" customHeight="1" x14ac:dyDescent="0.3">
      <c r="A55" s="307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9"/>
    </row>
    <row r="56" spans="1:24" ht="15.6" customHeight="1" x14ac:dyDescent="0.3">
      <c r="A56" s="307"/>
      <c r="B56" s="308"/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8"/>
      <c r="P56" s="308"/>
      <c r="Q56" s="308"/>
      <c r="R56" s="308"/>
      <c r="S56" s="308"/>
      <c r="T56" s="308"/>
      <c r="U56" s="309"/>
    </row>
    <row r="57" spans="1:24" ht="15.6" customHeight="1" thickBot="1" x14ac:dyDescent="0.35">
      <c r="A57" s="307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9"/>
    </row>
    <row r="58" spans="1:24" ht="16.2" customHeight="1" thickBot="1" x14ac:dyDescent="0.35">
      <c r="A58" s="324" t="s">
        <v>329</v>
      </c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6"/>
    </row>
    <row r="59" spans="1:24" ht="38.4" customHeight="1" x14ac:dyDescent="0.3">
      <c r="A59" s="104" t="s">
        <v>143</v>
      </c>
      <c r="B59" s="105" t="s">
        <v>144</v>
      </c>
      <c r="C59" s="105" t="s">
        <v>145</v>
      </c>
      <c r="D59" s="105" t="s">
        <v>146</v>
      </c>
      <c r="E59" s="105" t="s">
        <v>147</v>
      </c>
      <c r="F59" s="105" t="s">
        <v>148</v>
      </c>
      <c r="G59" s="105" t="s">
        <v>151</v>
      </c>
      <c r="H59" s="105" t="s">
        <v>174</v>
      </c>
      <c r="I59" s="105" t="s">
        <v>149</v>
      </c>
      <c r="J59" s="105" t="s">
        <v>150</v>
      </c>
      <c r="K59" s="105" t="s">
        <v>152</v>
      </c>
      <c r="L59" s="105" t="s">
        <v>186</v>
      </c>
      <c r="M59" s="105" t="s">
        <v>154</v>
      </c>
      <c r="N59" s="105" t="s">
        <v>155</v>
      </c>
      <c r="O59" s="105" t="s">
        <v>156</v>
      </c>
      <c r="P59" s="105" t="s">
        <v>157</v>
      </c>
      <c r="Q59" s="105" t="s">
        <v>158</v>
      </c>
      <c r="R59" s="105" t="s">
        <v>159</v>
      </c>
      <c r="S59" s="105" t="s">
        <v>160</v>
      </c>
      <c r="T59" s="105" t="s">
        <v>13</v>
      </c>
      <c r="U59" s="106" t="s">
        <v>161</v>
      </c>
      <c r="V59" s="129" t="s">
        <v>220</v>
      </c>
      <c r="W59" s="130" t="s">
        <v>229</v>
      </c>
      <c r="X59" s="127" t="s">
        <v>219</v>
      </c>
    </row>
    <row r="60" spans="1:24" ht="31.2" customHeight="1" x14ac:dyDescent="0.3">
      <c r="A60" s="71" t="s">
        <v>330</v>
      </c>
      <c r="B60" s="71">
        <v>2023</v>
      </c>
      <c r="C60" s="73">
        <v>2200446587</v>
      </c>
      <c r="D60" s="223" t="s">
        <v>190</v>
      </c>
      <c r="E60" s="73" t="s">
        <v>308</v>
      </c>
      <c r="F60" s="91">
        <v>527</v>
      </c>
      <c r="G60" s="63">
        <v>30</v>
      </c>
      <c r="H60" s="72">
        <f>F60</f>
        <v>527</v>
      </c>
      <c r="I60" s="92">
        <f>H60/12</f>
        <v>43.916666666666664</v>
      </c>
      <c r="J60" s="72">
        <f>450/12</f>
        <v>37.5</v>
      </c>
      <c r="K60" s="119">
        <f>ROUND(H60+I60+J60,2)</f>
        <v>608.41999999999996</v>
      </c>
      <c r="L60" s="92">
        <f>H60*11.45%</f>
        <v>60.341499999999996</v>
      </c>
      <c r="M60" s="92">
        <f>F60*11.65%</f>
        <v>61.395500000000006</v>
      </c>
      <c r="N60" s="63">
        <v>71</v>
      </c>
      <c r="O60" s="63"/>
      <c r="P60" s="63"/>
      <c r="Q60" s="63"/>
      <c r="R60" s="119">
        <f>L60+O60+P60+Q60</f>
        <v>60.341499999999996</v>
      </c>
      <c r="S60" s="63"/>
      <c r="T60" s="140">
        <f>K60-R60-S60</f>
        <v>548.07849999999996</v>
      </c>
      <c r="U60" s="63"/>
      <c r="V60" s="123" t="s">
        <v>230</v>
      </c>
      <c r="W60" s="126" t="s">
        <v>209</v>
      </c>
      <c r="X60">
        <v>1600022</v>
      </c>
    </row>
    <row r="61" spans="1:24" ht="31.2" customHeight="1" x14ac:dyDescent="0.3">
      <c r="A61" s="71" t="s">
        <v>330</v>
      </c>
      <c r="B61" s="71">
        <v>2023</v>
      </c>
      <c r="C61" s="142" t="s">
        <v>235</v>
      </c>
      <c r="D61" s="223" t="s">
        <v>195</v>
      </c>
      <c r="E61" s="73" t="s">
        <v>196</v>
      </c>
      <c r="F61" s="91">
        <v>1212</v>
      </c>
      <c r="G61" s="63">
        <v>30</v>
      </c>
      <c r="H61" s="72">
        <f>F61</f>
        <v>1212</v>
      </c>
      <c r="I61" s="92">
        <f>H61/12</f>
        <v>101</v>
      </c>
      <c r="J61" s="72">
        <f>450/12</f>
        <v>37.5</v>
      </c>
      <c r="K61" s="119">
        <f>ROUND(H61+I61+J61,2)</f>
        <v>1350.5</v>
      </c>
      <c r="L61" s="92">
        <f>H61*11.45%</f>
        <v>138.774</v>
      </c>
      <c r="M61" s="92">
        <f>F61*11.65%</f>
        <v>141.19800000000001</v>
      </c>
      <c r="N61" s="63">
        <v>71</v>
      </c>
      <c r="O61" s="63"/>
      <c r="P61" s="284">
        <v>127.91</v>
      </c>
      <c r="Q61" s="63"/>
      <c r="R61" s="119">
        <f>L61+O61+P61+Q61</f>
        <v>266.68399999999997</v>
      </c>
      <c r="S61" s="63"/>
      <c r="T61" s="140">
        <f>K61-R61-S61</f>
        <v>1083.816</v>
      </c>
      <c r="U61" s="63"/>
      <c r="V61" s="123" t="s">
        <v>214</v>
      </c>
      <c r="W61" s="126" t="s">
        <v>213</v>
      </c>
      <c r="X61">
        <v>2600021</v>
      </c>
    </row>
    <row r="62" spans="1:24" ht="31.2" customHeight="1" x14ac:dyDescent="0.3">
      <c r="A62" s="71" t="s">
        <v>330</v>
      </c>
      <c r="B62" s="71">
        <v>2023</v>
      </c>
      <c r="C62" s="142" t="s">
        <v>295</v>
      </c>
      <c r="D62" s="223" t="s">
        <v>296</v>
      </c>
      <c r="E62" s="73" t="s">
        <v>84</v>
      </c>
      <c r="F62" s="91">
        <v>500</v>
      </c>
      <c r="G62" s="63">
        <v>30</v>
      </c>
      <c r="H62" s="72">
        <f>ROUND(F62/30*G62,2)</f>
        <v>500</v>
      </c>
      <c r="I62" s="122"/>
      <c r="J62" s="122"/>
      <c r="K62" s="119">
        <f>ROUND(H62+I62+J62,2)</f>
        <v>500</v>
      </c>
      <c r="L62" s="92">
        <f>H62*11.45%</f>
        <v>57.249999999999993</v>
      </c>
      <c r="M62" s="92">
        <f>F62*11.65%</f>
        <v>58.25</v>
      </c>
      <c r="N62" s="63">
        <v>71</v>
      </c>
      <c r="O62" s="63"/>
      <c r="P62" s="63"/>
      <c r="Q62" s="63"/>
      <c r="R62" s="119">
        <f>L62+O62+P62+Q62</f>
        <v>57.249999999999993</v>
      </c>
      <c r="S62" s="63"/>
      <c r="T62" s="140">
        <f>K62-R62-S62</f>
        <v>442.75</v>
      </c>
      <c r="U62" s="63"/>
      <c r="V62" s="123" t="s">
        <v>294</v>
      </c>
      <c r="W62" s="126" t="s">
        <v>205</v>
      </c>
      <c r="X62">
        <v>1410036</v>
      </c>
    </row>
    <row r="63" spans="1:24" ht="31.2" customHeight="1" x14ac:dyDescent="0.3">
      <c r="A63" s="332" t="s">
        <v>185</v>
      </c>
      <c r="B63" s="333"/>
      <c r="C63" s="333"/>
      <c r="D63" s="333"/>
      <c r="E63" s="334"/>
      <c r="F63" s="63"/>
      <c r="G63" s="63"/>
      <c r="H63" s="136">
        <f>SUM(H60:H62)</f>
        <v>2239</v>
      </c>
      <c r="I63" s="136">
        <f>SUM(I60:I61)</f>
        <v>144.91666666666666</v>
      </c>
      <c r="J63" s="136">
        <f>SUM(J60:J61)</f>
        <v>75</v>
      </c>
      <c r="K63" s="136">
        <f>SUM(K60:K62)</f>
        <v>2458.92</v>
      </c>
      <c r="L63" s="136">
        <f t="shared" ref="L63:Q63" si="14">SUM(L60:L61)</f>
        <v>199.1155</v>
      </c>
      <c r="M63" s="136">
        <f t="shared" si="14"/>
        <v>202.59350000000001</v>
      </c>
      <c r="N63" s="136">
        <f t="shared" si="14"/>
        <v>142</v>
      </c>
      <c r="O63" s="136">
        <f t="shared" si="14"/>
        <v>0</v>
      </c>
      <c r="P63" s="136">
        <f t="shared" si="14"/>
        <v>127.91</v>
      </c>
      <c r="Q63" s="136">
        <f t="shared" si="14"/>
        <v>0</v>
      </c>
      <c r="R63" s="136">
        <f>SUM(R60:R62)</f>
        <v>384.27549999999997</v>
      </c>
      <c r="S63" s="136">
        <f>SUM(S60:S61)</f>
        <v>0</v>
      </c>
      <c r="T63" s="157">
        <f>SUM(T60:T62)</f>
        <v>2074.6444999999999</v>
      </c>
      <c r="U63" s="137"/>
    </row>
    <row r="64" spans="1:24" x14ac:dyDescent="0.3">
      <c r="E64" s="330" t="s">
        <v>28</v>
      </c>
      <c r="F64" s="330"/>
      <c r="G64" s="330"/>
      <c r="H64" s="84"/>
      <c r="I64" s="85"/>
      <c r="J64" s="85"/>
      <c r="K64" s="86"/>
      <c r="L64" s="330" t="s">
        <v>187</v>
      </c>
      <c r="M64" s="330"/>
      <c r="N64" s="330"/>
      <c r="O64" s="330"/>
      <c r="P64" s="330"/>
      <c r="Q64" s="330"/>
    </row>
    <row r="65" spans="5:20" x14ac:dyDescent="0.3">
      <c r="E65" s="281"/>
      <c r="F65" s="281"/>
      <c r="G65" s="281"/>
      <c r="H65" s="84"/>
      <c r="I65" s="85"/>
      <c r="J65" s="85"/>
      <c r="K65" s="86"/>
      <c r="L65" s="281"/>
      <c r="M65" s="281"/>
      <c r="N65" s="281"/>
      <c r="O65" s="281"/>
      <c r="P65" s="281"/>
      <c r="Q65" s="281"/>
      <c r="T65" s="61">
        <f>T62+T60+T38+T14</f>
        <v>5781.6000714285719</v>
      </c>
    </row>
    <row r="66" spans="5:20" x14ac:dyDescent="0.3">
      <c r="E66" s="145"/>
      <c r="F66" s="146"/>
      <c r="G66" s="145"/>
      <c r="H66" s="146"/>
      <c r="I66" s="85"/>
      <c r="J66" s="85"/>
      <c r="K66" s="88"/>
      <c r="L66" s="88"/>
      <c r="M66" s="88"/>
      <c r="N66" s="88"/>
      <c r="O66" s="88"/>
      <c r="P66" s="89"/>
      <c r="Q66" s="89"/>
    </row>
    <row r="67" spans="5:20" x14ac:dyDescent="0.3">
      <c r="E67" s="317" t="s">
        <v>188</v>
      </c>
      <c r="F67" s="317"/>
      <c r="G67" s="317"/>
      <c r="H67" s="317"/>
      <c r="I67" s="85"/>
      <c r="J67" s="85"/>
      <c r="K67" s="88"/>
      <c r="L67" s="331" t="s">
        <v>189</v>
      </c>
      <c r="M67" s="331"/>
      <c r="N67" s="331"/>
      <c r="O67" s="331"/>
      <c r="P67" s="331"/>
      <c r="Q67" s="331"/>
    </row>
    <row r="68" spans="5:20" x14ac:dyDescent="0.3">
      <c r="E68" s="316" t="s">
        <v>238</v>
      </c>
      <c r="F68" s="316"/>
      <c r="G68" s="316"/>
      <c r="H68" s="316"/>
      <c r="L68" s="316" t="s">
        <v>237</v>
      </c>
      <c r="M68" s="316"/>
      <c r="N68" s="316"/>
      <c r="O68" s="316"/>
      <c r="P68" s="316"/>
      <c r="Q68" s="316"/>
    </row>
  </sheetData>
  <mergeCells count="27">
    <mergeCell ref="E41:G41"/>
    <mergeCell ref="L41:Q41"/>
    <mergeCell ref="A1:U5"/>
    <mergeCell ref="A6:U6"/>
    <mergeCell ref="A14:E14"/>
    <mergeCell ref="E16:G16"/>
    <mergeCell ref="L16:Q16"/>
    <mergeCell ref="E19:H19"/>
    <mergeCell ref="L19:Q19"/>
    <mergeCell ref="E20:H20"/>
    <mergeCell ref="L20:Q20"/>
    <mergeCell ref="A22:U26"/>
    <mergeCell ref="A27:U27"/>
    <mergeCell ref="A38:E38"/>
    <mergeCell ref="E68:H68"/>
    <mergeCell ref="L68:Q68"/>
    <mergeCell ref="E44:H44"/>
    <mergeCell ref="L44:Q44"/>
    <mergeCell ref="E45:H45"/>
    <mergeCell ref="L45:Q45"/>
    <mergeCell ref="A53:U57"/>
    <mergeCell ref="A58:U58"/>
    <mergeCell ref="A63:E63"/>
    <mergeCell ref="E64:G64"/>
    <mergeCell ref="L64:Q64"/>
    <mergeCell ref="E67:H67"/>
    <mergeCell ref="L67:Q67"/>
  </mergeCells>
  <pageMargins left="0.7" right="0.7" top="0.75" bottom="0.75" header="0.3" footer="0.3"/>
  <pageSetup paperSize="9" scale="50" orientation="landscape" horizontalDpi="0" verticalDpi="0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5"/>
  <sheetViews>
    <sheetView topLeftCell="A22" workbookViewId="0">
      <selection activeCell="C62" sqref="A33:D62"/>
    </sheetView>
  </sheetViews>
  <sheetFormatPr baseColWidth="10" defaultRowHeight="14.4" x14ac:dyDescent="0.3"/>
  <cols>
    <col min="1" max="1" width="37.33203125" customWidth="1"/>
    <col min="2" max="2" width="27.5546875" customWidth="1"/>
    <col min="3" max="3" width="15.6640625" customWidth="1"/>
    <col min="4" max="4" width="21.6640625" customWidth="1"/>
  </cols>
  <sheetData>
    <row r="1" spans="1:4" ht="25.2" customHeight="1" x14ac:dyDescent="0.3">
      <c r="A1" s="294"/>
      <c r="B1" s="295"/>
      <c r="C1" s="295"/>
      <c r="D1" s="296"/>
    </row>
    <row r="2" spans="1:4" x14ac:dyDescent="0.3">
      <c r="A2" s="307"/>
      <c r="B2" s="308"/>
      <c r="C2" s="308"/>
      <c r="D2" s="309"/>
    </row>
    <row r="3" spans="1:4" ht="33" customHeight="1" thickBot="1" x14ac:dyDescent="0.35">
      <c r="A3" s="307"/>
      <c r="B3" s="308"/>
      <c r="C3" s="308"/>
      <c r="D3" s="309"/>
    </row>
    <row r="4" spans="1:4" ht="25.8" thickBot="1" x14ac:dyDescent="0.35">
      <c r="A4" s="350" t="s">
        <v>0</v>
      </c>
      <c r="B4" s="351"/>
      <c r="C4" s="351"/>
      <c r="D4" s="352"/>
    </row>
    <row r="5" spans="1:4" x14ac:dyDescent="0.3">
      <c r="A5" s="11" t="s">
        <v>1</v>
      </c>
      <c r="B5" s="3" t="str">
        <f>'ROL DE AGOSTO'!D8</f>
        <v>LUZ NARCISA GREFA YUMBO</v>
      </c>
      <c r="C5" s="3"/>
      <c r="D5" s="12"/>
    </row>
    <row r="6" spans="1:4" x14ac:dyDescent="0.3">
      <c r="A6" s="11" t="s">
        <v>2</v>
      </c>
      <c r="B6" s="55">
        <f>'ROL DE AGOSTO'!C8</f>
        <v>1500721202</v>
      </c>
      <c r="C6" s="4"/>
      <c r="D6" s="13"/>
    </row>
    <row r="7" spans="1:4" x14ac:dyDescent="0.3">
      <c r="A7" s="11" t="s">
        <v>3</v>
      </c>
      <c r="B7" s="3" t="str">
        <f>'ROL DE AGOSTO'!E8</f>
        <v>PRESIDENTA</v>
      </c>
      <c r="C7" s="4"/>
      <c r="D7" s="14"/>
    </row>
    <row r="8" spans="1:4" x14ac:dyDescent="0.3">
      <c r="A8" s="11" t="s">
        <v>26</v>
      </c>
      <c r="B8" s="3" t="str">
        <f>'ROL OCT23'!A29</f>
        <v>OCTUBRE</v>
      </c>
      <c r="C8" s="4"/>
      <c r="D8" s="15"/>
    </row>
    <row r="9" spans="1:4" x14ac:dyDescent="0.3">
      <c r="A9" s="11" t="s">
        <v>99</v>
      </c>
      <c r="B9" s="55">
        <f>'ROL DE AGOSTO'!B8</f>
        <v>2023</v>
      </c>
      <c r="C9" s="4"/>
      <c r="D9" s="15"/>
    </row>
    <row r="10" spans="1:4" x14ac:dyDescent="0.3">
      <c r="A10" s="203" t="s">
        <v>94</v>
      </c>
      <c r="B10" s="204"/>
      <c r="C10" s="205" t="s">
        <v>5</v>
      </c>
      <c r="D10" s="206" t="s">
        <v>6</v>
      </c>
    </row>
    <row r="11" spans="1:4" x14ac:dyDescent="0.3">
      <c r="A11" s="18"/>
      <c r="B11" s="6"/>
      <c r="C11" s="7"/>
      <c r="D11" s="19"/>
    </row>
    <row r="12" spans="1:4" ht="13.2" customHeight="1" x14ac:dyDescent="0.3">
      <c r="A12" s="26" t="s">
        <v>16</v>
      </c>
      <c r="B12" s="27"/>
      <c r="C12" s="28">
        <f>'ROL DE AGOSTO'!F8</f>
        <v>1340</v>
      </c>
      <c r="D12" s="29"/>
    </row>
    <row r="13" spans="1:4" ht="13.2" customHeight="1" x14ac:dyDescent="0.3">
      <c r="A13" s="26" t="s">
        <v>105</v>
      </c>
      <c r="B13" s="27"/>
      <c r="C13" s="28"/>
      <c r="D13" s="29"/>
    </row>
    <row r="14" spans="1:4" ht="13.2" customHeight="1" x14ac:dyDescent="0.3">
      <c r="A14" s="26" t="s">
        <v>8</v>
      </c>
      <c r="B14" s="27"/>
      <c r="C14" s="28"/>
      <c r="D14" s="29"/>
    </row>
    <row r="15" spans="1:4" ht="13.2" customHeight="1" x14ac:dyDescent="0.3">
      <c r="A15" s="26" t="s">
        <v>9</v>
      </c>
      <c r="B15" s="27"/>
      <c r="C15" s="28"/>
      <c r="D15" s="29"/>
    </row>
    <row r="16" spans="1:4" ht="13.2" customHeight="1" x14ac:dyDescent="0.3">
      <c r="A16" s="26"/>
      <c r="B16" s="27" t="s">
        <v>10</v>
      </c>
      <c r="C16" s="28"/>
      <c r="D16" s="29">
        <f>'ROL DE AGOSTO'!L8</f>
        <v>153.43</v>
      </c>
    </row>
    <row r="17" spans="1:4" ht="13.2" customHeight="1" x14ac:dyDescent="0.3">
      <c r="A17" s="26"/>
      <c r="B17" s="27" t="s">
        <v>11</v>
      </c>
      <c r="C17" s="28"/>
      <c r="D17" s="29">
        <f>'ROL DE AGOSTO'!O8</f>
        <v>0</v>
      </c>
    </row>
    <row r="18" spans="1:4" ht="13.2" customHeight="1" x14ac:dyDescent="0.3">
      <c r="A18" s="26"/>
      <c r="B18" s="27" t="s">
        <v>55</v>
      </c>
      <c r="C18" s="28"/>
      <c r="D18" s="29">
        <f>'ROL DE AGOSTO'!S8</f>
        <v>382.85714285714283</v>
      </c>
    </row>
    <row r="19" spans="1:4" ht="13.2" customHeight="1" x14ac:dyDescent="0.3">
      <c r="A19" s="26"/>
      <c r="B19" s="27" t="s">
        <v>18</v>
      </c>
      <c r="C19" s="28"/>
      <c r="D19" s="29">
        <f>'ROL DE AGOSTO'!P8</f>
        <v>0</v>
      </c>
    </row>
    <row r="20" spans="1:4" x14ac:dyDescent="0.3">
      <c r="A20" s="207"/>
      <c r="B20" s="208" t="s">
        <v>12</v>
      </c>
      <c r="C20" s="209">
        <f>SUM(C12:C19)</f>
        <v>1340</v>
      </c>
      <c r="D20" s="210">
        <f>SUM(D12:D19)</f>
        <v>536.28714285714284</v>
      </c>
    </row>
    <row r="21" spans="1:4" ht="28.2" x14ac:dyDescent="0.3">
      <c r="A21" s="21"/>
      <c r="B21" s="45"/>
      <c r="C21" s="211" t="s">
        <v>13</v>
      </c>
      <c r="D21" s="212">
        <f>+C20-D20</f>
        <v>803.71285714285716</v>
      </c>
    </row>
    <row r="22" spans="1:4" ht="15" thickBot="1" x14ac:dyDescent="0.35">
      <c r="A22" s="23"/>
      <c r="B22" s="4" t="s">
        <v>14</v>
      </c>
      <c r="C22" s="2"/>
      <c r="D22" s="24"/>
    </row>
    <row r="23" spans="1:4" x14ac:dyDescent="0.3">
      <c r="A23" s="213" t="s">
        <v>28</v>
      </c>
      <c r="B23" s="213" t="s">
        <v>93</v>
      </c>
      <c r="C23" s="348" t="s">
        <v>30</v>
      </c>
      <c r="D23" s="349"/>
    </row>
    <row r="24" spans="1:4" x14ac:dyDescent="0.3">
      <c r="A24" s="37"/>
      <c r="B24" s="34"/>
      <c r="C24" s="32"/>
      <c r="D24" s="25"/>
    </row>
    <row r="25" spans="1:4" x14ac:dyDescent="0.3">
      <c r="A25" s="37"/>
      <c r="B25" s="34"/>
      <c r="C25" s="32"/>
      <c r="D25" s="25"/>
    </row>
    <row r="26" spans="1:4" x14ac:dyDescent="0.3">
      <c r="A26" s="37"/>
      <c r="B26" s="34"/>
      <c r="C26" s="32"/>
      <c r="D26" s="25"/>
    </row>
    <row r="27" spans="1:4" x14ac:dyDescent="0.3">
      <c r="A27" s="37"/>
      <c r="B27" s="34"/>
      <c r="C27" s="32"/>
      <c r="D27" s="25"/>
    </row>
    <row r="28" spans="1:4" x14ac:dyDescent="0.3">
      <c r="A28" s="37"/>
      <c r="B28" s="34"/>
      <c r="C28" s="32"/>
      <c r="D28" s="25"/>
    </row>
    <row r="29" spans="1:4" x14ac:dyDescent="0.3">
      <c r="A29" s="38" t="s">
        <v>298</v>
      </c>
      <c r="B29" s="35" t="s">
        <v>297</v>
      </c>
      <c r="C29" s="290" t="str">
        <f>'ROL INDIVIDUAL'!B5</f>
        <v>LUZ NARCISA GREFA YUMBO</v>
      </c>
      <c r="D29" s="291"/>
    </row>
    <row r="30" spans="1:4" ht="15" thickBot="1" x14ac:dyDescent="0.35">
      <c r="A30" s="36" t="s">
        <v>246</v>
      </c>
      <c r="B30" s="33" t="s">
        <v>299</v>
      </c>
      <c r="C30" s="353">
        <f>B6</f>
        <v>1500721202</v>
      </c>
      <c r="D30" s="354"/>
    </row>
    <row r="31" spans="1:4" x14ac:dyDescent="0.3">
      <c r="A31" s="214"/>
      <c r="B31" s="58"/>
      <c r="C31" s="59"/>
      <c r="D31" s="215"/>
    </row>
    <row r="32" spans="1:4" ht="15" thickBot="1" x14ac:dyDescent="0.35">
      <c r="A32" s="214"/>
      <c r="B32" s="58"/>
      <c r="C32" s="59"/>
      <c r="D32" s="215"/>
    </row>
    <row r="33" spans="1:4" x14ac:dyDescent="0.3">
      <c r="A33" s="294"/>
      <c r="B33" s="295"/>
      <c r="C33" s="295"/>
      <c r="D33" s="296"/>
    </row>
    <row r="34" spans="1:4" x14ac:dyDescent="0.3">
      <c r="A34" s="307"/>
      <c r="B34" s="308"/>
      <c r="C34" s="308"/>
      <c r="D34" s="309"/>
    </row>
    <row r="35" spans="1:4" ht="45" customHeight="1" thickBot="1" x14ac:dyDescent="0.35">
      <c r="A35" s="307"/>
      <c r="B35" s="308"/>
      <c r="C35" s="308"/>
      <c r="D35" s="309"/>
    </row>
    <row r="36" spans="1:4" ht="25.8" thickBot="1" x14ac:dyDescent="0.35">
      <c r="A36" s="350" t="s">
        <v>0</v>
      </c>
      <c r="B36" s="351"/>
      <c r="C36" s="351"/>
      <c r="D36" s="352"/>
    </row>
    <row r="37" spans="1:4" x14ac:dyDescent="0.3">
      <c r="A37" s="11" t="s">
        <v>1</v>
      </c>
      <c r="B37" s="3" t="str">
        <f>'ROL DE AGOSTO'!D9</f>
        <v>DEISY EDITH GREFA VARGAS</v>
      </c>
      <c r="C37" s="3"/>
      <c r="D37" s="12"/>
    </row>
    <row r="38" spans="1:4" x14ac:dyDescent="0.3">
      <c r="A38" s="11" t="s">
        <v>2</v>
      </c>
      <c r="B38" s="10" t="str">
        <f>'ROL DE AGOSTO'!C9</f>
        <v>2200496376</v>
      </c>
      <c r="C38" s="4"/>
      <c r="D38" s="13"/>
    </row>
    <row r="39" spans="1:4" x14ac:dyDescent="0.3">
      <c r="A39" s="11" t="s">
        <v>3</v>
      </c>
      <c r="B39" s="3" t="str">
        <f>'ROL DE AGOSTO'!E9</f>
        <v>VICEPRESIDENTA</v>
      </c>
      <c r="C39" s="4"/>
      <c r="D39" s="14"/>
    </row>
    <row r="40" spans="1:4" x14ac:dyDescent="0.3">
      <c r="A40" s="11" t="s">
        <v>26</v>
      </c>
      <c r="B40" s="3" t="s">
        <v>330</v>
      </c>
      <c r="C40" s="4"/>
      <c r="D40" s="15"/>
    </row>
    <row r="41" spans="1:4" x14ac:dyDescent="0.3">
      <c r="A41" s="11" t="s">
        <v>99</v>
      </c>
      <c r="B41" s="55">
        <f>'ROL DE AGOSTO'!B8</f>
        <v>2023</v>
      </c>
      <c r="C41" s="4"/>
      <c r="D41" s="15"/>
    </row>
    <row r="42" spans="1:4" x14ac:dyDescent="0.3">
      <c r="A42" s="203" t="s">
        <v>94</v>
      </c>
      <c r="B42" s="204"/>
      <c r="C42" s="205" t="s">
        <v>5</v>
      </c>
      <c r="D42" s="206" t="s">
        <v>6</v>
      </c>
    </row>
    <row r="43" spans="1:4" x14ac:dyDescent="0.3">
      <c r="A43" s="18"/>
      <c r="B43" s="6"/>
      <c r="C43" s="7"/>
      <c r="D43" s="19"/>
    </row>
    <row r="44" spans="1:4" x14ac:dyDescent="0.3">
      <c r="A44" s="26" t="s">
        <v>16</v>
      </c>
      <c r="B44" s="27"/>
      <c r="C44" s="28">
        <f>'ROL DE AGOSTO'!F9</f>
        <v>536</v>
      </c>
      <c r="D44" s="29"/>
    </row>
    <row r="45" spans="1:4" ht="17.399999999999999" customHeight="1" x14ac:dyDescent="0.3">
      <c r="A45" s="26" t="s">
        <v>105</v>
      </c>
      <c r="B45" s="27"/>
      <c r="C45" s="28"/>
      <c r="D45" s="29"/>
    </row>
    <row r="46" spans="1:4" x14ac:dyDescent="0.3">
      <c r="A46" s="26" t="s">
        <v>8</v>
      </c>
      <c r="B46" s="27"/>
      <c r="C46" s="28"/>
      <c r="D46" s="29"/>
    </row>
    <row r="47" spans="1:4" x14ac:dyDescent="0.3">
      <c r="A47" s="26" t="s">
        <v>9</v>
      </c>
      <c r="B47" s="27"/>
      <c r="C47" s="28"/>
      <c r="D47" s="29"/>
    </row>
    <row r="48" spans="1:4" ht="24" x14ac:dyDescent="0.3">
      <c r="A48" s="26"/>
      <c r="B48" s="27" t="s">
        <v>10</v>
      </c>
      <c r="C48" s="28"/>
      <c r="D48" s="29">
        <f>'ROL DE AGOSTO'!L9</f>
        <v>61.37</v>
      </c>
    </row>
    <row r="49" spans="1:4" ht="24" x14ac:dyDescent="0.3">
      <c r="A49" s="26"/>
      <c r="B49" s="27" t="s">
        <v>11</v>
      </c>
      <c r="C49" s="28"/>
      <c r="D49" s="29">
        <v>187</v>
      </c>
    </row>
    <row r="50" spans="1:4" x14ac:dyDescent="0.3">
      <c r="A50" s="26"/>
      <c r="B50" s="27" t="s">
        <v>55</v>
      </c>
      <c r="C50" s="28"/>
      <c r="D50" s="29">
        <v>178.67</v>
      </c>
    </row>
    <row r="51" spans="1:4" ht="24" x14ac:dyDescent="0.3">
      <c r="A51" s="26"/>
      <c r="B51" s="27" t="s">
        <v>18</v>
      </c>
      <c r="C51" s="28"/>
      <c r="D51" s="29"/>
    </row>
    <row r="52" spans="1:4" x14ac:dyDescent="0.3">
      <c r="A52" s="207"/>
      <c r="B52" s="208" t="s">
        <v>12</v>
      </c>
      <c r="C52" s="209">
        <f>SUM(C44:C51)</f>
        <v>536</v>
      </c>
      <c r="D52" s="210">
        <f>SUM(D44:D51)</f>
        <v>427.03999999999996</v>
      </c>
    </row>
    <row r="53" spans="1:4" ht="28.2" x14ac:dyDescent="0.3">
      <c r="A53" s="21"/>
      <c r="B53" s="45"/>
      <c r="C53" s="211" t="s">
        <v>13</v>
      </c>
      <c r="D53" s="212">
        <f>+C52-D52</f>
        <v>108.96000000000004</v>
      </c>
    </row>
    <row r="54" spans="1:4" ht="15" thickBot="1" x14ac:dyDescent="0.35">
      <c r="A54" s="23"/>
      <c r="B54" s="4" t="s">
        <v>14</v>
      </c>
      <c r="C54" s="2"/>
      <c r="D54" s="24"/>
    </row>
    <row r="55" spans="1:4" x14ac:dyDescent="0.3">
      <c r="A55" s="213" t="s">
        <v>28</v>
      </c>
      <c r="B55" s="213" t="s">
        <v>93</v>
      </c>
      <c r="C55" s="348" t="s">
        <v>30</v>
      </c>
      <c r="D55" s="349"/>
    </row>
    <row r="56" spans="1:4" x14ac:dyDescent="0.3">
      <c r="A56" s="37"/>
      <c r="B56" s="34"/>
      <c r="C56" s="32"/>
      <c r="D56" s="25"/>
    </row>
    <row r="57" spans="1:4" x14ac:dyDescent="0.3">
      <c r="A57" s="37"/>
      <c r="B57" s="34"/>
      <c r="C57" s="32"/>
      <c r="D57" s="25"/>
    </row>
    <row r="58" spans="1:4" x14ac:dyDescent="0.3">
      <c r="A58" s="37"/>
      <c r="B58" s="34"/>
      <c r="C58" s="32"/>
      <c r="D58" s="25"/>
    </row>
    <row r="59" spans="1:4" x14ac:dyDescent="0.3">
      <c r="A59" s="37"/>
      <c r="B59" s="34"/>
      <c r="C59" s="32"/>
      <c r="D59" s="25"/>
    </row>
    <row r="60" spans="1:4" x14ac:dyDescent="0.3">
      <c r="A60" s="37"/>
      <c r="B60" s="34"/>
      <c r="C60" s="32"/>
      <c r="D60" s="25"/>
    </row>
    <row r="61" spans="1:4" x14ac:dyDescent="0.3">
      <c r="A61" s="38" t="s">
        <v>298</v>
      </c>
      <c r="B61" s="35" t="s">
        <v>297</v>
      </c>
      <c r="C61" s="290" t="str">
        <f>B37</f>
        <v>DEISY EDITH GREFA VARGAS</v>
      </c>
      <c r="D61" s="291"/>
    </row>
    <row r="62" spans="1:4" ht="15" thickBot="1" x14ac:dyDescent="0.35">
      <c r="A62" s="36" t="s">
        <v>246</v>
      </c>
      <c r="B62" s="33" t="s">
        <v>299</v>
      </c>
      <c r="C62" s="353" t="str">
        <f>B38</f>
        <v>2200496376</v>
      </c>
      <c r="D62" s="354"/>
    </row>
    <row r="68" spans="1:4" ht="15" thickBot="1" x14ac:dyDescent="0.35"/>
    <row r="69" spans="1:4" x14ac:dyDescent="0.3">
      <c r="A69" s="294"/>
      <c r="B69" s="295"/>
      <c r="C69" s="295"/>
      <c r="D69" s="296"/>
    </row>
    <row r="70" spans="1:4" x14ac:dyDescent="0.3">
      <c r="A70" s="307"/>
      <c r="B70" s="308"/>
      <c r="C70" s="308"/>
      <c r="D70" s="309"/>
    </row>
    <row r="71" spans="1:4" ht="49.8" customHeight="1" thickBot="1" x14ac:dyDescent="0.35">
      <c r="A71" s="307"/>
      <c r="B71" s="308"/>
      <c r="C71" s="308"/>
      <c r="D71" s="309"/>
    </row>
    <row r="72" spans="1:4" ht="25.8" thickBot="1" x14ac:dyDescent="0.35">
      <c r="A72" s="350" t="s">
        <v>0</v>
      </c>
      <c r="B72" s="351"/>
      <c r="C72" s="351"/>
      <c r="D72" s="352"/>
    </row>
    <row r="73" spans="1:4" x14ac:dyDescent="0.3">
      <c r="A73" s="11" t="s">
        <v>1</v>
      </c>
      <c r="B73" s="3" t="str">
        <f>'ROL DE AGOSTO'!D10</f>
        <v>PEDRO PABLO MONTERO ALTAMIR</v>
      </c>
      <c r="C73" s="3"/>
      <c r="D73" s="12"/>
    </row>
    <row r="74" spans="1:4" x14ac:dyDescent="0.3">
      <c r="A74" s="11" t="s">
        <v>2</v>
      </c>
      <c r="B74" s="10" t="str">
        <f>'ROL DE AGOSTO'!C10</f>
        <v>1500518517</v>
      </c>
      <c r="C74" s="4"/>
      <c r="D74" s="13"/>
    </row>
    <row r="75" spans="1:4" x14ac:dyDescent="0.3">
      <c r="A75" s="11" t="s">
        <v>3</v>
      </c>
      <c r="B75" s="3" t="str">
        <f>'ROL DE AGOSTO'!E10</f>
        <v>1 VOCAL</v>
      </c>
      <c r="C75" s="4"/>
      <c r="D75" s="14"/>
    </row>
    <row r="76" spans="1:4" x14ac:dyDescent="0.3">
      <c r="A76" s="11" t="s">
        <v>26</v>
      </c>
      <c r="B76" s="3" t="str">
        <f>'ROL DE AGOSTO'!A10</f>
        <v>AGOSTO</v>
      </c>
      <c r="C76" s="4"/>
      <c r="D76" s="15"/>
    </row>
    <row r="77" spans="1:4" x14ac:dyDescent="0.3">
      <c r="A77" s="11" t="s">
        <v>99</v>
      </c>
      <c r="B77" s="55">
        <f>'ROL DE AGOSTO'!B10</f>
        <v>2023</v>
      </c>
      <c r="C77" s="4"/>
      <c r="D77" s="15"/>
    </row>
    <row r="78" spans="1:4" x14ac:dyDescent="0.3">
      <c r="A78" s="203" t="s">
        <v>94</v>
      </c>
      <c r="B78" s="204"/>
      <c r="C78" s="205" t="s">
        <v>5</v>
      </c>
      <c r="D78" s="206" t="s">
        <v>6</v>
      </c>
    </row>
    <row r="79" spans="1:4" x14ac:dyDescent="0.3">
      <c r="A79" s="18"/>
      <c r="B79" s="6"/>
      <c r="C79" s="7"/>
      <c r="D79" s="19"/>
    </row>
    <row r="80" spans="1:4" x14ac:dyDescent="0.3">
      <c r="A80" s="26" t="s">
        <v>16</v>
      </c>
      <c r="B80" s="27"/>
      <c r="C80" s="28">
        <f>'ROL DE AGOSTO'!F10</f>
        <v>536</v>
      </c>
      <c r="D80" s="29"/>
    </row>
    <row r="81" spans="1:4" x14ac:dyDescent="0.3">
      <c r="A81" s="26" t="s">
        <v>105</v>
      </c>
      <c r="B81" s="27"/>
      <c r="C81" s="28"/>
      <c r="D81" s="29"/>
    </row>
    <row r="82" spans="1:4" x14ac:dyDescent="0.3">
      <c r="A82" s="26" t="s">
        <v>8</v>
      </c>
      <c r="B82" s="27"/>
      <c r="C82" s="28"/>
      <c r="D82" s="29"/>
    </row>
    <row r="83" spans="1:4" x14ac:dyDescent="0.3">
      <c r="A83" s="26" t="s">
        <v>9</v>
      </c>
      <c r="B83" s="27"/>
      <c r="C83" s="28"/>
      <c r="D83" s="29"/>
    </row>
    <row r="84" spans="1:4" ht="24" x14ac:dyDescent="0.3">
      <c r="A84" s="26"/>
      <c r="B84" s="27" t="s">
        <v>10</v>
      </c>
      <c r="C84" s="28"/>
      <c r="D84" s="29">
        <f>'ROL DE AGOSTO'!L10</f>
        <v>61.37</v>
      </c>
    </row>
    <row r="85" spans="1:4" ht="24" x14ac:dyDescent="0.3">
      <c r="A85" s="26"/>
      <c r="B85" s="27" t="s">
        <v>11</v>
      </c>
      <c r="C85" s="28"/>
      <c r="D85" s="29">
        <f>'ROL DE AGOSTO'!O76</f>
        <v>0</v>
      </c>
    </row>
    <row r="86" spans="1:4" x14ac:dyDescent="0.3">
      <c r="A86" s="26"/>
      <c r="B86" s="27" t="s">
        <v>55</v>
      </c>
      <c r="C86" s="28"/>
      <c r="D86" s="29">
        <f>'ROL DE AGOSTO'!S10</f>
        <v>268</v>
      </c>
    </row>
    <row r="87" spans="1:4" ht="24" x14ac:dyDescent="0.3">
      <c r="A87" s="26"/>
      <c r="B87" s="27" t="s">
        <v>18</v>
      </c>
      <c r="C87" s="28"/>
      <c r="D87" s="29">
        <f>'ROL DE AGOSTO'!P10</f>
        <v>78.349999999999994</v>
      </c>
    </row>
    <row r="88" spans="1:4" x14ac:dyDescent="0.3">
      <c r="A88" s="207"/>
      <c r="B88" s="208" t="s">
        <v>12</v>
      </c>
      <c r="C88" s="209">
        <f>SUM(C80:C87)</f>
        <v>536</v>
      </c>
      <c r="D88" s="210">
        <f>SUM(D80:D87)</f>
        <v>407.72</v>
      </c>
    </row>
    <row r="89" spans="1:4" ht="28.2" x14ac:dyDescent="0.3">
      <c r="A89" s="21"/>
      <c r="B89" s="45"/>
      <c r="C89" s="211" t="s">
        <v>13</v>
      </c>
      <c r="D89" s="212">
        <f>+C88-D88</f>
        <v>128.27999999999997</v>
      </c>
    </row>
    <row r="90" spans="1:4" ht="15" thickBot="1" x14ac:dyDescent="0.35">
      <c r="A90" s="23"/>
      <c r="B90" s="4" t="s">
        <v>14</v>
      </c>
      <c r="C90" s="2"/>
      <c r="D90" s="24"/>
    </row>
    <row r="91" spans="1:4" x14ac:dyDescent="0.3">
      <c r="A91" s="213" t="s">
        <v>28</v>
      </c>
      <c r="B91" s="213" t="s">
        <v>93</v>
      </c>
      <c r="C91" s="348" t="s">
        <v>30</v>
      </c>
      <c r="D91" s="349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8" t="s">
        <v>298</v>
      </c>
      <c r="B97" s="35" t="s">
        <v>297</v>
      </c>
      <c r="C97" s="290" t="str">
        <f>'ROL INDIVIDUAL'!B73</f>
        <v>PEDRO PABLO MONTERO ALTAMIR</v>
      </c>
      <c r="D97" s="291"/>
    </row>
    <row r="98" spans="1:4" ht="15" thickBot="1" x14ac:dyDescent="0.35">
      <c r="A98" s="36" t="s">
        <v>246</v>
      </c>
      <c r="B98" s="33" t="s">
        <v>299</v>
      </c>
      <c r="C98" s="353" t="str">
        <f>B74</f>
        <v>1500518517</v>
      </c>
      <c r="D98" s="354"/>
    </row>
    <row r="99" spans="1:4" x14ac:dyDescent="0.3">
      <c r="A99" s="214"/>
      <c r="B99" s="58"/>
      <c r="C99" s="59"/>
      <c r="D99" s="215"/>
    </row>
    <row r="100" spans="1:4" ht="15" thickBot="1" x14ac:dyDescent="0.35">
      <c r="A100" s="214"/>
      <c r="B100" s="58"/>
      <c r="C100" s="59"/>
      <c r="D100" s="215"/>
    </row>
    <row r="101" spans="1:4" x14ac:dyDescent="0.3">
      <c r="A101" s="294"/>
      <c r="B101" s="295"/>
      <c r="C101" s="295"/>
      <c r="D101" s="296"/>
    </row>
    <row r="102" spans="1:4" x14ac:dyDescent="0.3">
      <c r="A102" s="307"/>
      <c r="B102" s="308"/>
      <c r="C102" s="308"/>
      <c r="D102" s="309"/>
    </row>
    <row r="103" spans="1:4" ht="46.8" customHeight="1" thickBot="1" x14ac:dyDescent="0.35">
      <c r="A103" s="307"/>
      <c r="B103" s="308"/>
      <c r="C103" s="308"/>
      <c r="D103" s="309"/>
    </row>
    <row r="104" spans="1:4" ht="25.8" thickBot="1" x14ac:dyDescent="0.35">
      <c r="A104" s="350" t="s">
        <v>0</v>
      </c>
      <c r="B104" s="351"/>
      <c r="C104" s="351"/>
      <c r="D104" s="352"/>
    </row>
    <row r="105" spans="1:4" x14ac:dyDescent="0.3">
      <c r="A105" s="11" t="s">
        <v>1</v>
      </c>
      <c r="B105" s="3" t="str">
        <f>'ROL DE AGOSTO'!D11</f>
        <v>FLAVIO FEDERICO GREFA SHIGUANGO</v>
      </c>
      <c r="C105" s="3"/>
      <c r="D105" s="12"/>
    </row>
    <row r="106" spans="1:4" x14ac:dyDescent="0.3">
      <c r="A106" s="11" t="s">
        <v>2</v>
      </c>
      <c r="B106" s="10" t="s">
        <v>303</v>
      </c>
      <c r="C106" s="4"/>
      <c r="D106" s="13"/>
    </row>
    <row r="107" spans="1:4" x14ac:dyDescent="0.3">
      <c r="A107" s="11" t="s">
        <v>3</v>
      </c>
      <c r="B107" s="3" t="str">
        <f>'ROL DE AGOSTO'!E11</f>
        <v>2 VOCAL</v>
      </c>
      <c r="C107" s="4"/>
      <c r="D107" s="14"/>
    </row>
    <row r="108" spans="1:4" x14ac:dyDescent="0.3">
      <c r="A108" s="11" t="s">
        <v>26</v>
      </c>
      <c r="B108" s="3" t="str">
        <f>'ROL DE AGOSTO'!A11</f>
        <v>AGOSTO</v>
      </c>
      <c r="C108" s="4"/>
      <c r="D108" s="15"/>
    </row>
    <row r="109" spans="1:4" x14ac:dyDescent="0.3">
      <c r="A109" s="11" t="s">
        <v>99</v>
      </c>
      <c r="B109" s="55">
        <f>'ROL DE AGOSTO'!B11</f>
        <v>2023</v>
      </c>
      <c r="C109" s="4"/>
      <c r="D109" s="15"/>
    </row>
    <row r="110" spans="1:4" x14ac:dyDescent="0.3">
      <c r="A110" s="203" t="s">
        <v>94</v>
      </c>
      <c r="B110" s="204"/>
      <c r="C110" s="205" t="s">
        <v>5</v>
      </c>
      <c r="D110" s="206" t="s">
        <v>6</v>
      </c>
    </row>
    <row r="111" spans="1:4" x14ac:dyDescent="0.3">
      <c r="A111" s="18"/>
      <c r="B111" s="6"/>
      <c r="C111" s="7"/>
      <c r="D111" s="19"/>
    </row>
    <row r="112" spans="1:4" x14ac:dyDescent="0.3">
      <c r="A112" s="26" t="s">
        <v>16</v>
      </c>
      <c r="B112" s="27"/>
      <c r="C112" s="28">
        <f>'ROL DE AGOSTO'!K12</f>
        <v>536</v>
      </c>
      <c r="D112" s="29"/>
    </row>
    <row r="113" spans="1:4" x14ac:dyDescent="0.3">
      <c r="A113" s="26" t="s">
        <v>105</v>
      </c>
      <c r="B113" s="27"/>
      <c r="C113" s="28"/>
      <c r="D113" s="29"/>
    </row>
    <row r="114" spans="1:4" x14ac:dyDescent="0.3">
      <c r="A114" s="26" t="s">
        <v>8</v>
      </c>
      <c r="B114" s="27"/>
      <c r="C114" s="28"/>
      <c r="D114" s="29"/>
    </row>
    <row r="115" spans="1:4" x14ac:dyDescent="0.3">
      <c r="A115" s="26" t="s">
        <v>9</v>
      </c>
      <c r="B115" s="27"/>
      <c r="C115" s="28"/>
      <c r="D115" s="29"/>
    </row>
    <row r="116" spans="1:4" ht="24" x14ac:dyDescent="0.3">
      <c r="A116" s="26"/>
      <c r="B116" s="27" t="s">
        <v>10</v>
      </c>
      <c r="C116" s="28"/>
      <c r="D116" s="29">
        <f>'ROL DE AGOSTO'!L11</f>
        <v>61.37</v>
      </c>
    </row>
    <row r="117" spans="1:4" ht="24" x14ac:dyDescent="0.3">
      <c r="A117" s="26"/>
      <c r="B117" s="27" t="s">
        <v>11</v>
      </c>
      <c r="C117" s="28"/>
      <c r="D117" s="29"/>
    </row>
    <row r="118" spans="1:4" x14ac:dyDescent="0.3">
      <c r="A118" s="26"/>
      <c r="B118" s="27" t="s">
        <v>55</v>
      </c>
      <c r="C118" s="28"/>
      <c r="D118" s="29">
        <f>'ROL DE AGOSTO'!S11</f>
        <v>268</v>
      </c>
    </row>
    <row r="119" spans="1:4" ht="24" x14ac:dyDescent="0.3">
      <c r="A119" s="26"/>
      <c r="B119" s="27" t="s">
        <v>18</v>
      </c>
      <c r="C119" s="28"/>
      <c r="D119" s="29">
        <f>'ROL DE AGOSTO'!P11</f>
        <v>85</v>
      </c>
    </row>
    <row r="120" spans="1:4" x14ac:dyDescent="0.3">
      <c r="A120" s="207"/>
      <c r="B120" s="208" t="s">
        <v>12</v>
      </c>
      <c r="C120" s="209">
        <f>SUM(C112:C119)</f>
        <v>536</v>
      </c>
      <c r="D120" s="210">
        <f>SUM(D112:D119)</f>
        <v>414.37</v>
      </c>
    </row>
    <row r="121" spans="1:4" ht="28.2" x14ac:dyDescent="0.3">
      <c r="A121" s="21"/>
      <c r="B121" s="45"/>
      <c r="C121" s="211" t="s">
        <v>13</v>
      </c>
      <c r="D121" s="212">
        <f>+C120-D120</f>
        <v>121.63</v>
      </c>
    </row>
    <row r="122" spans="1:4" ht="15" thickBot="1" x14ac:dyDescent="0.35">
      <c r="A122" s="23"/>
      <c r="B122" s="4" t="s">
        <v>14</v>
      </c>
      <c r="C122" s="2"/>
      <c r="D122" s="24"/>
    </row>
    <row r="123" spans="1:4" x14ac:dyDescent="0.3">
      <c r="A123" s="213" t="s">
        <v>28</v>
      </c>
      <c r="B123" s="213" t="s">
        <v>93</v>
      </c>
      <c r="C123" s="348" t="s">
        <v>30</v>
      </c>
      <c r="D123" s="349"/>
    </row>
    <row r="124" spans="1:4" x14ac:dyDescent="0.3">
      <c r="A124" s="37"/>
      <c r="B124" s="34"/>
      <c r="C124" s="32"/>
      <c r="D124" s="25"/>
    </row>
    <row r="125" spans="1:4" x14ac:dyDescent="0.3">
      <c r="A125" s="37"/>
      <c r="B125" s="34"/>
      <c r="C125" s="32"/>
      <c r="D125" s="25"/>
    </row>
    <row r="126" spans="1:4" x14ac:dyDescent="0.3">
      <c r="A126" s="37"/>
      <c r="B126" s="34"/>
      <c r="C126" s="32"/>
      <c r="D126" s="25"/>
    </row>
    <row r="127" spans="1:4" x14ac:dyDescent="0.3">
      <c r="A127" s="37"/>
      <c r="B127" s="34"/>
      <c r="C127" s="32"/>
      <c r="D127" s="25"/>
    </row>
    <row r="128" spans="1:4" x14ac:dyDescent="0.3">
      <c r="A128" s="37"/>
      <c r="B128" s="34"/>
      <c r="C128" s="32"/>
      <c r="D128" s="25"/>
    </row>
    <row r="129" spans="1:4" x14ac:dyDescent="0.3">
      <c r="A129" s="38" t="s">
        <v>298</v>
      </c>
      <c r="B129" s="35" t="s">
        <v>297</v>
      </c>
      <c r="C129" s="290" t="str">
        <f>B105</f>
        <v>FLAVIO FEDERICO GREFA SHIGUANGO</v>
      </c>
      <c r="D129" s="291"/>
    </row>
    <row r="130" spans="1:4" ht="15" customHeight="1" thickBot="1" x14ac:dyDescent="0.35">
      <c r="A130" s="36" t="s">
        <v>246</v>
      </c>
      <c r="B130" s="33" t="s">
        <v>299</v>
      </c>
      <c r="C130" s="353" t="str">
        <f>B106</f>
        <v>1500367295</v>
      </c>
      <c r="D130" s="354"/>
    </row>
    <row r="133" spans="1:4" ht="15" thickBot="1" x14ac:dyDescent="0.35"/>
    <row r="134" spans="1:4" x14ac:dyDescent="0.3">
      <c r="A134" s="294"/>
      <c r="B134" s="295"/>
      <c r="C134" s="295"/>
      <c r="D134" s="296"/>
    </row>
    <row r="135" spans="1:4" x14ac:dyDescent="0.3">
      <c r="A135" s="307"/>
      <c r="B135" s="308"/>
      <c r="C135" s="308"/>
      <c r="D135" s="309"/>
    </row>
    <row r="136" spans="1:4" ht="15" thickBot="1" x14ac:dyDescent="0.35">
      <c r="A136" s="307"/>
      <c r="B136" s="308"/>
      <c r="C136" s="308"/>
      <c r="D136" s="309"/>
    </row>
    <row r="137" spans="1:4" ht="25.8" thickBot="1" x14ac:dyDescent="0.35">
      <c r="A137" s="350" t="s">
        <v>0</v>
      </c>
      <c r="B137" s="351"/>
      <c r="C137" s="351"/>
      <c r="D137" s="352"/>
    </row>
    <row r="138" spans="1:4" x14ac:dyDescent="0.3">
      <c r="A138" s="11" t="s">
        <v>1</v>
      </c>
      <c r="B138" s="3" t="str">
        <f>'ROL DE AGOSTO'!D12</f>
        <v>JEANET VIVIANA VASQUEZ YUMBO</v>
      </c>
      <c r="C138" s="3"/>
      <c r="D138" s="12"/>
    </row>
    <row r="139" spans="1:4" x14ac:dyDescent="0.3">
      <c r="A139" s="11" t="s">
        <v>2</v>
      </c>
      <c r="B139" s="55">
        <f>'ROL DE AGOSTO'!C12</f>
        <v>1500814940</v>
      </c>
      <c r="C139" s="4"/>
      <c r="D139" s="13"/>
    </row>
    <row r="140" spans="1:4" x14ac:dyDescent="0.3">
      <c r="A140" s="11" t="s">
        <v>3</v>
      </c>
      <c r="B140" s="3" t="str">
        <f>'ROL DE AGOSTO'!E12</f>
        <v>3 VOCAL</v>
      </c>
      <c r="C140" s="4"/>
      <c r="D140" s="14"/>
    </row>
    <row r="141" spans="1:4" x14ac:dyDescent="0.3">
      <c r="A141" s="11" t="s">
        <v>26</v>
      </c>
      <c r="B141" s="3" t="str">
        <f>'ROL DE AGOSTO'!A12</f>
        <v>AGOSTO</v>
      </c>
      <c r="C141" s="4"/>
      <c r="D141" s="15"/>
    </row>
    <row r="142" spans="1:4" x14ac:dyDescent="0.3">
      <c r="A142" s="11" t="s">
        <v>99</v>
      </c>
      <c r="B142" s="55">
        <f>'ROL DE AGOSTO'!B12</f>
        <v>2023</v>
      </c>
      <c r="C142" s="4"/>
      <c r="D142" s="15"/>
    </row>
    <row r="143" spans="1:4" x14ac:dyDescent="0.3">
      <c r="A143" s="203" t="s">
        <v>94</v>
      </c>
      <c r="B143" s="204"/>
      <c r="C143" s="205" t="s">
        <v>5</v>
      </c>
      <c r="D143" s="206" t="s">
        <v>6</v>
      </c>
    </row>
    <row r="144" spans="1:4" x14ac:dyDescent="0.3">
      <c r="A144" s="18"/>
      <c r="B144" s="6"/>
      <c r="C144" s="7"/>
      <c r="D144" s="19"/>
    </row>
    <row r="145" spans="1:4" x14ac:dyDescent="0.3">
      <c r="A145" s="26" t="s">
        <v>16</v>
      </c>
      <c r="B145" s="27"/>
      <c r="C145" s="28">
        <f>'ROL DE AGOSTO'!F12</f>
        <v>536</v>
      </c>
      <c r="D145" s="29"/>
    </row>
    <row r="146" spans="1:4" x14ac:dyDescent="0.3">
      <c r="A146" s="26" t="s">
        <v>105</v>
      </c>
      <c r="B146" s="27"/>
      <c r="C146" s="28"/>
      <c r="D146" s="29"/>
    </row>
    <row r="147" spans="1:4" x14ac:dyDescent="0.3">
      <c r="A147" s="26" t="s">
        <v>8</v>
      </c>
      <c r="B147" s="27"/>
      <c r="C147" s="28"/>
      <c r="D147" s="29"/>
    </row>
    <row r="148" spans="1:4" x14ac:dyDescent="0.3">
      <c r="A148" s="26" t="s">
        <v>9</v>
      </c>
      <c r="B148" s="27"/>
      <c r="C148" s="28"/>
      <c r="D148" s="29"/>
    </row>
    <row r="149" spans="1:4" ht="24" x14ac:dyDescent="0.3">
      <c r="A149" s="26"/>
      <c r="B149" s="27" t="s">
        <v>10</v>
      </c>
      <c r="C149" s="28"/>
      <c r="D149" s="29">
        <f>'ROL DE AGOSTO'!L12</f>
        <v>61.37</v>
      </c>
    </row>
    <row r="150" spans="1:4" ht="24" x14ac:dyDescent="0.3">
      <c r="A150" s="26"/>
      <c r="B150" s="27" t="s">
        <v>11</v>
      </c>
      <c r="C150" s="28"/>
      <c r="D150" s="29">
        <f>'ROL DE AGOSTO'!O141</f>
        <v>0</v>
      </c>
    </row>
    <row r="151" spans="1:4" x14ac:dyDescent="0.3">
      <c r="A151" s="26"/>
      <c r="B151" s="27" t="s">
        <v>55</v>
      </c>
      <c r="C151" s="28"/>
      <c r="D151" s="29">
        <f>'ROL DE AGOSTO'!S12</f>
        <v>229.71428571428572</v>
      </c>
    </row>
    <row r="152" spans="1:4" ht="24" x14ac:dyDescent="0.3">
      <c r="A152" s="26"/>
      <c r="B152" s="27" t="s">
        <v>18</v>
      </c>
      <c r="C152" s="28"/>
      <c r="D152" s="29">
        <f>'ROL DE AGOSTO'!P12</f>
        <v>72.349999999999994</v>
      </c>
    </row>
    <row r="153" spans="1:4" x14ac:dyDescent="0.3">
      <c r="A153" s="207"/>
      <c r="B153" s="208" t="s">
        <v>12</v>
      </c>
      <c r="C153" s="209">
        <f>SUM(C145:C152)</f>
        <v>536</v>
      </c>
      <c r="D153" s="210">
        <f>SUM(D145:D152)</f>
        <v>363.43428571428569</v>
      </c>
    </row>
    <row r="154" spans="1:4" ht="28.2" x14ac:dyDescent="0.3">
      <c r="A154" s="21"/>
      <c r="B154" s="45"/>
      <c r="C154" s="211" t="s">
        <v>13</v>
      </c>
      <c r="D154" s="212">
        <f>+C153-D153</f>
        <v>172.56571428571431</v>
      </c>
    </row>
    <row r="155" spans="1:4" ht="15" thickBot="1" x14ac:dyDescent="0.35">
      <c r="A155" s="23"/>
      <c r="B155" s="4" t="s">
        <v>14</v>
      </c>
      <c r="C155" s="2"/>
      <c r="D155" s="24"/>
    </row>
    <row r="156" spans="1:4" x14ac:dyDescent="0.3">
      <c r="A156" s="213" t="s">
        <v>28</v>
      </c>
      <c r="B156" s="213" t="s">
        <v>93</v>
      </c>
      <c r="C156" s="348" t="s">
        <v>30</v>
      </c>
      <c r="D156" s="349"/>
    </row>
    <row r="157" spans="1:4" x14ac:dyDescent="0.3">
      <c r="A157" s="37"/>
      <c r="B157" s="34"/>
      <c r="C157" s="32"/>
      <c r="D157" s="25"/>
    </row>
    <row r="158" spans="1:4" x14ac:dyDescent="0.3">
      <c r="A158" s="37"/>
      <c r="B158" s="34"/>
      <c r="C158" s="32"/>
      <c r="D158" s="25"/>
    </row>
    <row r="159" spans="1:4" x14ac:dyDescent="0.3">
      <c r="A159" s="37"/>
      <c r="B159" s="34"/>
      <c r="C159" s="32"/>
      <c r="D159" s="25"/>
    </row>
    <row r="160" spans="1:4" x14ac:dyDescent="0.3">
      <c r="A160" s="37"/>
      <c r="B160" s="34"/>
      <c r="C160" s="32"/>
      <c r="D160" s="25"/>
    </row>
    <row r="161" spans="1:4" x14ac:dyDescent="0.3">
      <c r="A161" s="37"/>
      <c r="B161" s="34"/>
      <c r="C161" s="32"/>
      <c r="D161" s="25"/>
    </row>
    <row r="162" spans="1:4" x14ac:dyDescent="0.3">
      <c r="A162" s="38" t="s">
        <v>298</v>
      </c>
      <c r="B162" s="35" t="s">
        <v>297</v>
      </c>
      <c r="C162" s="290" t="str">
        <f>'ROL INDIVIDUAL'!B138</f>
        <v>JEANET VIVIANA VASQUEZ YUMBO</v>
      </c>
      <c r="D162" s="291"/>
    </row>
    <row r="163" spans="1:4" ht="15" thickBot="1" x14ac:dyDescent="0.35">
      <c r="A163" s="36" t="s">
        <v>246</v>
      </c>
      <c r="B163" s="33" t="s">
        <v>299</v>
      </c>
      <c r="C163" s="353">
        <f>B139</f>
        <v>1500814940</v>
      </c>
      <c r="D163" s="354"/>
    </row>
    <row r="164" spans="1:4" x14ac:dyDescent="0.3">
      <c r="A164" s="214"/>
      <c r="B164" s="58"/>
      <c r="C164" s="59"/>
      <c r="D164" s="215"/>
    </row>
    <row r="165" spans="1:4" ht="15" thickBot="1" x14ac:dyDescent="0.35">
      <c r="A165" s="214"/>
      <c r="B165" s="58"/>
      <c r="C165" s="59"/>
      <c r="D165" s="215"/>
    </row>
    <row r="166" spans="1:4" x14ac:dyDescent="0.3">
      <c r="A166" s="294"/>
      <c r="B166" s="295"/>
      <c r="C166" s="295"/>
      <c r="D166" s="296"/>
    </row>
    <row r="167" spans="1:4" x14ac:dyDescent="0.3">
      <c r="A167" s="307"/>
      <c r="B167" s="308"/>
      <c r="C167" s="308"/>
      <c r="D167" s="309"/>
    </row>
    <row r="168" spans="1:4" ht="15" thickBot="1" x14ac:dyDescent="0.35">
      <c r="A168" s="307"/>
      <c r="B168" s="308"/>
      <c r="C168" s="308"/>
      <c r="D168" s="309"/>
    </row>
    <row r="169" spans="1:4" ht="25.8" thickBot="1" x14ac:dyDescent="0.35">
      <c r="A169" s="350" t="s">
        <v>0</v>
      </c>
      <c r="B169" s="351"/>
      <c r="C169" s="351"/>
      <c r="D169" s="352"/>
    </row>
    <row r="170" spans="1:4" x14ac:dyDescent="0.3">
      <c r="A170" s="11" t="s">
        <v>1</v>
      </c>
      <c r="B170" s="3" t="str">
        <f>'ROL DE AGOSTO'!D13</f>
        <v>BONILLA QUERA  INES ROCIO</v>
      </c>
      <c r="C170" s="3"/>
      <c r="D170" s="12"/>
    </row>
    <row r="171" spans="1:4" x14ac:dyDescent="0.3">
      <c r="A171" s="11" t="s">
        <v>2</v>
      </c>
      <c r="B171" s="10" t="str">
        <f>'ROL DE AGOSTO'!C13</f>
        <v>2200277818</v>
      </c>
      <c r="C171" s="4"/>
      <c r="D171" s="13"/>
    </row>
    <row r="172" spans="1:4" x14ac:dyDescent="0.3">
      <c r="A172" s="11" t="s">
        <v>3</v>
      </c>
      <c r="B172" s="3" t="str">
        <f>'ROL DE AGOSTO'!E13</f>
        <v>TESORERA_SECRETARIA</v>
      </c>
      <c r="C172" s="4"/>
      <c r="D172" s="14"/>
    </row>
    <row r="173" spans="1:4" x14ac:dyDescent="0.3">
      <c r="A173" s="11" t="s">
        <v>26</v>
      </c>
      <c r="B173" s="3" t="str">
        <f>'ROL DE AGOSTO'!A13</f>
        <v>AGOSTO</v>
      </c>
      <c r="C173" s="4"/>
      <c r="D173" s="15"/>
    </row>
    <row r="174" spans="1:4" x14ac:dyDescent="0.3">
      <c r="A174" s="11" t="s">
        <v>99</v>
      </c>
      <c r="B174" s="55">
        <f>'ROL DE AGOSTO'!B13</f>
        <v>2023</v>
      </c>
      <c r="C174" s="4"/>
      <c r="D174" s="15"/>
    </row>
    <row r="175" spans="1:4" x14ac:dyDescent="0.3">
      <c r="A175" s="203" t="s">
        <v>94</v>
      </c>
      <c r="B175" s="204"/>
      <c r="C175" s="205" t="s">
        <v>5</v>
      </c>
      <c r="D175" s="206" t="s">
        <v>6</v>
      </c>
    </row>
    <row r="176" spans="1:4" x14ac:dyDescent="0.3">
      <c r="A176" s="18"/>
      <c r="B176" s="6"/>
      <c r="C176" s="7"/>
      <c r="D176" s="19"/>
    </row>
    <row r="177" spans="1:4" x14ac:dyDescent="0.3">
      <c r="A177" s="26" t="s">
        <v>16</v>
      </c>
      <c r="B177" s="27"/>
      <c r="C177" s="28">
        <f>'ROL DE AGOSTO'!F13</f>
        <v>733</v>
      </c>
      <c r="D177" s="29"/>
    </row>
    <row r="178" spans="1:4" x14ac:dyDescent="0.3">
      <c r="A178" s="26" t="s">
        <v>105</v>
      </c>
      <c r="B178" s="27"/>
      <c r="C178" s="28"/>
      <c r="D178" s="29"/>
    </row>
    <row r="179" spans="1:4" x14ac:dyDescent="0.3">
      <c r="A179" s="26" t="s">
        <v>8</v>
      </c>
      <c r="B179" s="27"/>
      <c r="C179" s="28"/>
      <c r="D179" s="29"/>
    </row>
    <row r="180" spans="1:4" x14ac:dyDescent="0.3">
      <c r="A180" s="26" t="s">
        <v>9</v>
      </c>
      <c r="B180" s="27"/>
      <c r="C180" s="28"/>
      <c r="D180" s="29"/>
    </row>
    <row r="181" spans="1:4" ht="24" x14ac:dyDescent="0.3">
      <c r="A181" s="26"/>
      <c r="B181" s="27" t="s">
        <v>10</v>
      </c>
      <c r="C181" s="28"/>
      <c r="D181" s="29">
        <f>'ROL DE AGOSTO'!L13</f>
        <v>83.93</v>
      </c>
    </row>
    <row r="182" spans="1:4" ht="24" x14ac:dyDescent="0.3">
      <c r="A182" s="26"/>
      <c r="B182" s="27" t="s">
        <v>11</v>
      </c>
      <c r="C182" s="28"/>
      <c r="D182" s="29">
        <f>'ROL DE AGOSTO'!O142</f>
        <v>0</v>
      </c>
    </row>
    <row r="183" spans="1:4" x14ac:dyDescent="0.3">
      <c r="A183" s="26"/>
      <c r="B183" s="27" t="s">
        <v>55</v>
      </c>
      <c r="C183" s="28"/>
      <c r="D183" s="29">
        <f>'ROL DE AGOSTO'!S142</f>
        <v>0</v>
      </c>
    </row>
    <row r="184" spans="1:4" ht="24" x14ac:dyDescent="0.3">
      <c r="A184" s="26"/>
      <c r="B184" s="27" t="s">
        <v>18</v>
      </c>
      <c r="C184" s="28"/>
      <c r="D184" s="29">
        <f>'ROL DE AGOSTO'!P142</f>
        <v>0</v>
      </c>
    </row>
    <row r="185" spans="1:4" x14ac:dyDescent="0.3">
      <c r="A185" s="207"/>
      <c r="B185" s="208" t="s">
        <v>12</v>
      </c>
      <c r="C185" s="209">
        <f>SUM(C177:C184)</f>
        <v>733</v>
      </c>
      <c r="D185" s="210">
        <f>SUM(D177:D184)</f>
        <v>83.93</v>
      </c>
    </row>
    <row r="186" spans="1:4" ht="28.2" x14ac:dyDescent="0.3">
      <c r="A186" s="21"/>
      <c r="B186" s="45"/>
      <c r="C186" s="211" t="s">
        <v>13</v>
      </c>
      <c r="D186" s="212">
        <f>+C185-D185</f>
        <v>649.06999999999994</v>
      </c>
    </row>
    <row r="187" spans="1:4" ht="15" thickBot="1" x14ac:dyDescent="0.35">
      <c r="A187" s="23"/>
      <c r="B187" s="4" t="s">
        <v>14</v>
      </c>
      <c r="C187" s="2"/>
      <c r="D187" s="24"/>
    </row>
    <row r="188" spans="1:4" x14ac:dyDescent="0.3">
      <c r="A188" s="213" t="s">
        <v>28</v>
      </c>
      <c r="B188" s="213" t="s">
        <v>93</v>
      </c>
      <c r="C188" s="348" t="s">
        <v>30</v>
      </c>
      <c r="D188" s="349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8" t="s">
        <v>298</v>
      </c>
      <c r="B194" s="35" t="s">
        <v>297</v>
      </c>
      <c r="C194" s="290" t="str">
        <f>B170</f>
        <v>BONILLA QUERA  INES ROCIO</v>
      </c>
      <c r="D194" s="291"/>
    </row>
    <row r="195" spans="1:4" ht="15" thickBot="1" x14ac:dyDescent="0.35">
      <c r="A195" s="36" t="s">
        <v>246</v>
      </c>
      <c r="B195" s="33" t="s">
        <v>299</v>
      </c>
      <c r="C195" s="353" t="str">
        <f>B171</f>
        <v>2200277818</v>
      </c>
      <c r="D195" s="354"/>
    </row>
    <row r="203" spans="1:4" ht="15" thickBot="1" x14ac:dyDescent="0.35"/>
    <row r="204" spans="1:4" x14ac:dyDescent="0.3">
      <c r="A204" s="294"/>
      <c r="B204" s="295"/>
      <c r="C204" s="295"/>
      <c r="D204" s="296"/>
    </row>
    <row r="205" spans="1:4" x14ac:dyDescent="0.3">
      <c r="A205" s="307"/>
      <c r="B205" s="308"/>
      <c r="C205" s="308"/>
      <c r="D205" s="309"/>
    </row>
    <row r="206" spans="1:4" ht="15" thickBot="1" x14ac:dyDescent="0.35">
      <c r="A206" s="307"/>
      <c r="B206" s="308"/>
      <c r="C206" s="308"/>
      <c r="D206" s="309"/>
    </row>
    <row r="207" spans="1:4" ht="25.8" thickBot="1" x14ac:dyDescent="0.35">
      <c r="A207" s="350" t="s">
        <v>0</v>
      </c>
      <c r="B207" s="351"/>
      <c r="C207" s="351"/>
      <c r="D207" s="352"/>
    </row>
    <row r="208" spans="1:4" x14ac:dyDescent="0.3">
      <c r="A208" s="11" t="s">
        <v>1</v>
      </c>
      <c r="B208" s="3" t="str">
        <f>'ROL DE AGOSTO'!D29</f>
        <v>AREVALO VILLACRES MONICA LETICIA</v>
      </c>
      <c r="C208" s="3"/>
      <c r="D208" s="12"/>
    </row>
    <row r="209" spans="1:4" x14ac:dyDescent="0.3">
      <c r="A209" s="11" t="s">
        <v>2</v>
      </c>
      <c r="B209" s="55" t="str">
        <f>'ROL DE AGOSTO'!C29</f>
        <v>2250187560</v>
      </c>
      <c r="C209" s="4"/>
      <c r="D209" s="13"/>
    </row>
    <row r="210" spans="1:4" x14ac:dyDescent="0.3">
      <c r="A210" s="11" t="s">
        <v>3</v>
      </c>
      <c r="B210" s="3" t="str">
        <f>'ROL DE AGOSTO'!E29</f>
        <v>SECRETARIA-AUXILIAR</v>
      </c>
      <c r="C210" s="4"/>
      <c r="D210" s="14"/>
    </row>
    <row r="211" spans="1:4" x14ac:dyDescent="0.3">
      <c r="A211" s="11" t="s">
        <v>26</v>
      </c>
      <c r="B211" s="3" t="str">
        <f>'ROL DE AGOSTO'!A29</f>
        <v>AGOSTO</v>
      </c>
      <c r="C211" s="4"/>
      <c r="D211" s="15"/>
    </row>
    <row r="212" spans="1:4" x14ac:dyDescent="0.3">
      <c r="A212" s="11" t="s">
        <v>99</v>
      </c>
      <c r="B212" s="55">
        <f>'ROL DE AGOSTO'!B211</f>
        <v>0</v>
      </c>
      <c r="C212" s="4"/>
      <c r="D212" s="15"/>
    </row>
    <row r="213" spans="1:4" x14ac:dyDescent="0.3">
      <c r="A213" s="203" t="s">
        <v>94</v>
      </c>
      <c r="B213" s="204"/>
      <c r="C213" s="205" t="s">
        <v>5</v>
      </c>
      <c r="D213" s="206" t="s">
        <v>6</v>
      </c>
    </row>
    <row r="214" spans="1:4" x14ac:dyDescent="0.3">
      <c r="A214" s="18"/>
      <c r="B214" s="6"/>
      <c r="C214" s="7"/>
      <c r="D214" s="19"/>
    </row>
    <row r="215" spans="1:4" x14ac:dyDescent="0.3">
      <c r="A215" s="26" t="s">
        <v>16</v>
      </c>
      <c r="B215" s="27"/>
      <c r="C215" s="28">
        <f>'ROL DE AGOSTO'!F29</f>
        <v>553</v>
      </c>
      <c r="D215" s="29"/>
    </row>
    <row r="216" spans="1:4" x14ac:dyDescent="0.3">
      <c r="A216" s="26" t="s">
        <v>105</v>
      </c>
      <c r="B216" s="27"/>
      <c r="C216" s="28"/>
      <c r="D216" s="29"/>
    </row>
    <row r="217" spans="1:4" x14ac:dyDescent="0.3">
      <c r="A217" s="26" t="s">
        <v>8</v>
      </c>
      <c r="B217" s="27"/>
      <c r="C217" s="28"/>
      <c r="D217" s="29"/>
    </row>
    <row r="218" spans="1:4" x14ac:dyDescent="0.3">
      <c r="A218" s="26" t="s">
        <v>9</v>
      </c>
      <c r="B218" s="27"/>
      <c r="C218" s="28"/>
      <c r="D218" s="29"/>
    </row>
    <row r="219" spans="1:4" ht="24" x14ac:dyDescent="0.3">
      <c r="A219" s="26"/>
      <c r="B219" s="27" t="s">
        <v>10</v>
      </c>
      <c r="C219" s="28"/>
      <c r="D219" s="29">
        <f>'ROL DE AGOSTO'!L29</f>
        <v>52.258499999999991</v>
      </c>
    </row>
    <row r="220" spans="1:4" ht="24" x14ac:dyDescent="0.3">
      <c r="A220" s="26"/>
      <c r="B220" s="27" t="s">
        <v>304</v>
      </c>
      <c r="C220" s="28"/>
      <c r="D220" s="29">
        <f>'ROL DE AGOSTO'!O29</f>
        <v>0</v>
      </c>
    </row>
    <row r="221" spans="1:4" x14ac:dyDescent="0.3">
      <c r="A221" s="26"/>
      <c r="B221" s="27" t="s">
        <v>55</v>
      </c>
      <c r="C221" s="28"/>
      <c r="D221" s="29">
        <f>'ROL DE AGOSTO'!S29</f>
        <v>0</v>
      </c>
    </row>
    <row r="222" spans="1:4" ht="24" x14ac:dyDescent="0.3">
      <c r="A222" s="26"/>
      <c r="B222" s="27" t="s">
        <v>18</v>
      </c>
      <c r="C222" s="28"/>
      <c r="D222" s="29">
        <f>'ROL DE AGOSTO'!P29</f>
        <v>0</v>
      </c>
    </row>
    <row r="223" spans="1:4" x14ac:dyDescent="0.3">
      <c r="A223" s="207"/>
      <c r="B223" s="208" t="s">
        <v>12</v>
      </c>
      <c r="C223" s="209">
        <f>SUM(C215:C222)</f>
        <v>553</v>
      </c>
      <c r="D223" s="210">
        <f>SUM(D215:D222)</f>
        <v>52.258499999999991</v>
      </c>
    </row>
    <row r="224" spans="1:4" ht="28.2" x14ac:dyDescent="0.3">
      <c r="A224" s="21"/>
      <c r="B224" s="45"/>
      <c r="C224" s="211" t="s">
        <v>13</v>
      </c>
      <c r="D224" s="212">
        <f>+C223-D223</f>
        <v>500.74150000000003</v>
      </c>
    </row>
    <row r="225" spans="1:4" ht="15" thickBot="1" x14ac:dyDescent="0.35">
      <c r="A225" s="23"/>
      <c r="B225" s="4" t="s">
        <v>14</v>
      </c>
      <c r="C225" s="2"/>
      <c r="D225" s="24"/>
    </row>
    <row r="226" spans="1:4" x14ac:dyDescent="0.3">
      <c r="A226" s="213" t="s">
        <v>28</v>
      </c>
      <c r="B226" s="213" t="s">
        <v>93</v>
      </c>
      <c r="C226" s="348" t="s">
        <v>30</v>
      </c>
      <c r="D226" s="349"/>
    </row>
    <row r="227" spans="1:4" x14ac:dyDescent="0.3">
      <c r="A227" s="37"/>
      <c r="B227" s="34"/>
      <c r="C227" s="32"/>
      <c r="D227" s="25"/>
    </row>
    <row r="228" spans="1:4" x14ac:dyDescent="0.3">
      <c r="A228" s="37"/>
      <c r="B228" s="34"/>
      <c r="C228" s="32"/>
      <c r="D228" s="25"/>
    </row>
    <row r="229" spans="1:4" x14ac:dyDescent="0.3">
      <c r="A229" s="37"/>
      <c r="B229" s="34"/>
      <c r="C229" s="32"/>
      <c r="D229" s="25"/>
    </row>
    <row r="230" spans="1:4" x14ac:dyDescent="0.3">
      <c r="A230" s="37"/>
      <c r="B230" s="34"/>
      <c r="C230" s="32"/>
      <c r="D230" s="25"/>
    </row>
    <row r="231" spans="1:4" x14ac:dyDescent="0.3">
      <c r="A231" s="37"/>
      <c r="B231" s="34"/>
      <c r="C231" s="32"/>
      <c r="D231" s="25"/>
    </row>
    <row r="232" spans="1:4" x14ac:dyDescent="0.3">
      <c r="A232" s="38" t="s">
        <v>298</v>
      </c>
      <c r="B232" s="35" t="s">
        <v>297</v>
      </c>
      <c r="C232" s="290" t="str">
        <f>'ROL INDIVIDUAL'!B208</f>
        <v>AREVALO VILLACRES MONICA LETICIA</v>
      </c>
      <c r="D232" s="291"/>
    </row>
    <row r="233" spans="1:4" ht="15" thickBot="1" x14ac:dyDescent="0.35">
      <c r="A233" s="36" t="s">
        <v>246</v>
      </c>
      <c r="B233" s="33" t="s">
        <v>299</v>
      </c>
      <c r="C233" s="353" t="str">
        <f>B209</f>
        <v>2250187560</v>
      </c>
      <c r="D233" s="354"/>
    </row>
    <row r="234" spans="1:4" x14ac:dyDescent="0.3">
      <c r="A234" s="214"/>
      <c r="B234" s="58"/>
      <c r="C234" s="59"/>
      <c r="D234" s="215"/>
    </row>
    <row r="235" spans="1:4" ht="15" thickBot="1" x14ac:dyDescent="0.35">
      <c r="A235" s="214"/>
      <c r="B235" s="58"/>
      <c r="C235" s="59"/>
      <c r="D235" s="215"/>
    </row>
    <row r="236" spans="1:4" x14ac:dyDescent="0.3">
      <c r="A236" s="294"/>
      <c r="B236" s="295"/>
      <c r="C236" s="295"/>
      <c r="D236" s="296"/>
    </row>
    <row r="237" spans="1:4" x14ac:dyDescent="0.3">
      <c r="A237" s="307"/>
      <c r="B237" s="308"/>
      <c r="C237" s="308"/>
      <c r="D237" s="309"/>
    </row>
    <row r="238" spans="1:4" ht="15" thickBot="1" x14ac:dyDescent="0.35">
      <c r="A238" s="307"/>
      <c r="B238" s="308"/>
      <c r="C238" s="308"/>
      <c r="D238" s="309"/>
    </row>
    <row r="239" spans="1:4" ht="25.8" thickBot="1" x14ac:dyDescent="0.35">
      <c r="A239" s="350" t="s">
        <v>0</v>
      </c>
      <c r="B239" s="351"/>
      <c r="C239" s="351"/>
      <c r="D239" s="352"/>
    </row>
    <row r="240" spans="1:4" x14ac:dyDescent="0.3">
      <c r="A240" s="11" t="s">
        <v>1</v>
      </c>
      <c r="B240" s="3" t="str">
        <f>'ROL DE AGOSTO'!D30</f>
        <v>CHALCO HURTADO WILMER HERNANDO</v>
      </c>
      <c r="C240" s="3"/>
      <c r="D240" s="12"/>
    </row>
    <row r="241" spans="1:4" x14ac:dyDescent="0.3">
      <c r="A241" s="11" t="s">
        <v>2</v>
      </c>
      <c r="B241" s="218" t="str">
        <f>'ROL DE AGOSTO'!C30</f>
        <v>0702864372</v>
      </c>
      <c r="C241" s="4"/>
      <c r="D241" s="13"/>
    </row>
    <row r="242" spans="1:4" x14ac:dyDescent="0.3">
      <c r="A242" s="11" t="s">
        <v>3</v>
      </c>
      <c r="B242" s="3" t="str">
        <f>'ROL DE AGOSTO'!E30</f>
        <v>OPERADOR EXCAVADORA</v>
      </c>
      <c r="C242" s="4"/>
      <c r="D242" s="14"/>
    </row>
    <row r="243" spans="1:4" x14ac:dyDescent="0.3">
      <c r="A243" s="11" t="s">
        <v>26</v>
      </c>
      <c r="B243" s="3">
        <f>'ROL DE AGOSTO'!A212</f>
        <v>0</v>
      </c>
      <c r="C243" s="4"/>
      <c r="D243" s="15"/>
    </row>
    <row r="244" spans="1:4" x14ac:dyDescent="0.3">
      <c r="A244" s="11" t="s">
        <v>99</v>
      </c>
      <c r="B244" s="55">
        <f>'ROL DE AGOSTO'!B211</f>
        <v>0</v>
      </c>
      <c r="C244" s="4"/>
      <c r="D244" s="15"/>
    </row>
    <row r="245" spans="1:4" x14ac:dyDescent="0.3">
      <c r="A245" s="203" t="s">
        <v>94</v>
      </c>
      <c r="B245" s="204"/>
      <c r="C245" s="205" t="s">
        <v>5</v>
      </c>
      <c r="D245" s="206" t="s">
        <v>6</v>
      </c>
    </row>
    <row r="246" spans="1:4" x14ac:dyDescent="0.3">
      <c r="A246" s="18"/>
      <c r="B246" s="6"/>
      <c r="C246" s="7"/>
      <c r="D246" s="19"/>
    </row>
    <row r="247" spans="1:4" x14ac:dyDescent="0.3">
      <c r="A247" s="26" t="s">
        <v>16</v>
      </c>
      <c r="B247" s="27"/>
      <c r="C247" s="28">
        <f>'ROL DE AGOSTO'!F30</f>
        <v>708</v>
      </c>
      <c r="D247" s="29"/>
    </row>
    <row r="248" spans="1:4" x14ac:dyDescent="0.3">
      <c r="A248" s="26" t="s">
        <v>105</v>
      </c>
      <c r="B248" s="27"/>
      <c r="C248" s="28"/>
      <c r="D248" s="29"/>
    </row>
    <row r="249" spans="1:4" x14ac:dyDescent="0.3">
      <c r="A249" s="26" t="s">
        <v>8</v>
      </c>
      <c r="B249" s="27"/>
      <c r="C249" s="28"/>
      <c r="D249" s="29"/>
    </row>
    <row r="250" spans="1:4" x14ac:dyDescent="0.3">
      <c r="A250" s="26" t="s">
        <v>9</v>
      </c>
      <c r="B250" s="27"/>
      <c r="C250" s="28"/>
      <c r="D250" s="29"/>
    </row>
    <row r="251" spans="1:4" ht="24" x14ac:dyDescent="0.3">
      <c r="A251" s="26"/>
      <c r="B251" s="27" t="s">
        <v>10</v>
      </c>
      <c r="C251" s="28"/>
      <c r="D251" s="29">
        <f>'ROL DE AGOSTO'!L30</f>
        <v>66.905999999999992</v>
      </c>
    </row>
    <row r="252" spans="1:4" ht="24" x14ac:dyDescent="0.3">
      <c r="A252" s="26"/>
      <c r="B252" s="27" t="s">
        <v>11</v>
      </c>
      <c r="C252" s="28"/>
      <c r="D252" s="29">
        <f>'ROL DE AGOSTO'!O30</f>
        <v>0</v>
      </c>
    </row>
    <row r="253" spans="1:4" x14ac:dyDescent="0.3">
      <c r="A253" s="26"/>
      <c r="B253" s="27" t="s">
        <v>55</v>
      </c>
      <c r="C253" s="28"/>
      <c r="D253" s="29">
        <f>'ROL DE AGOSTO'!S30</f>
        <v>157.33333333333334</v>
      </c>
    </row>
    <row r="254" spans="1:4" ht="24" x14ac:dyDescent="0.3">
      <c r="A254" s="26"/>
      <c r="B254" s="27" t="s">
        <v>18</v>
      </c>
      <c r="C254" s="28"/>
      <c r="D254" s="29">
        <f>'ROL DE AGOSTO'!P30</f>
        <v>0</v>
      </c>
    </row>
    <row r="255" spans="1:4" x14ac:dyDescent="0.3">
      <c r="A255" s="207"/>
      <c r="B255" s="208" t="s">
        <v>12</v>
      </c>
      <c r="C255" s="209">
        <f>SUM(C247:C254)</f>
        <v>708</v>
      </c>
      <c r="D255" s="210">
        <f>SUM(D247:D254)</f>
        <v>224.23933333333332</v>
      </c>
    </row>
    <row r="256" spans="1:4" ht="28.2" x14ac:dyDescent="0.3">
      <c r="A256" s="21"/>
      <c r="B256" s="45"/>
      <c r="C256" s="211" t="s">
        <v>13</v>
      </c>
      <c r="D256" s="212">
        <f>+C255-D255</f>
        <v>483.76066666666668</v>
      </c>
    </row>
    <row r="257" spans="1:4" ht="15" thickBot="1" x14ac:dyDescent="0.35">
      <c r="A257" s="23"/>
      <c r="B257" s="4" t="s">
        <v>14</v>
      </c>
      <c r="C257" s="2"/>
      <c r="D257" s="24"/>
    </row>
    <row r="258" spans="1:4" x14ac:dyDescent="0.3">
      <c r="A258" s="213" t="s">
        <v>28</v>
      </c>
      <c r="B258" s="213" t="s">
        <v>93</v>
      </c>
      <c r="C258" s="348" t="s">
        <v>30</v>
      </c>
      <c r="D258" s="349"/>
    </row>
    <row r="259" spans="1:4" x14ac:dyDescent="0.3">
      <c r="A259" s="37"/>
      <c r="B259" s="34"/>
      <c r="C259" s="32"/>
      <c r="D259" s="25"/>
    </row>
    <row r="260" spans="1:4" x14ac:dyDescent="0.3">
      <c r="A260" s="37"/>
      <c r="B260" s="34"/>
      <c r="C260" s="32"/>
      <c r="D260" s="25"/>
    </row>
    <row r="261" spans="1:4" x14ac:dyDescent="0.3">
      <c r="A261" s="37"/>
      <c r="B261" s="34"/>
      <c r="C261" s="32"/>
      <c r="D261" s="25"/>
    </row>
    <row r="262" spans="1:4" x14ac:dyDescent="0.3">
      <c r="A262" s="37"/>
      <c r="B262" s="34"/>
      <c r="C262" s="32"/>
      <c r="D262" s="25"/>
    </row>
    <row r="263" spans="1:4" x14ac:dyDescent="0.3">
      <c r="A263" s="37"/>
      <c r="B263" s="34"/>
      <c r="C263" s="32"/>
      <c r="D263" s="25"/>
    </row>
    <row r="264" spans="1:4" x14ac:dyDescent="0.3">
      <c r="A264" s="38" t="s">
        <v>298</v>
      </c>
      <c r="B264" s="35" t="s">
        <v>297</v>
      </c>
      <c r="C264" s="290" t="str">
        <f>B240</f>
        <v>CHALCO HURTADO WILMER HERNANDO</v>
      </c>
      <c r="D264" s="291"/>
    </row>
    <row r="265" spans="1:4" ht="15" thickBot="1" x14ac:dyDescent="0.35">
      <c r="A265" s="36" t="s">
        <v>246</v>
      </c>
      <c r="B265" s="33" t="s">
        <v>299</v>
      </c>
      <c r="C265" s="353" t="str">
        <f>B241</f>
        <v>0702864372</v>
      </c>
      <c r="D265" s="354"/>
    </row>
    <row r="273" spans="1:4" ht="15" thickBot="1" x14ac:dyDescent="0.35"/>
    <row r="274" spans="1:4" x14ac:dyDescent="0.3">
      <c r="A274" s="294"/>
      <c r="B274" s="295"/>
      <c r="C274" s="295"/>
      <c r="D274" s="296"/>
    </row>
    <row r="275" spans="1:4" x14ac:dyDescent="0.3">
      <c r="A275" s="307"/>
      <c r="B275" s="308"/>
      <c r="C275" s="308"/>
      <c r="D275" s="309"/>
    </row>
    <row r="276" spans="1:4" ht="15" thickBot="1" x14ac:dyDescent="0.35">
      <c r="A276" s="307"/>
      <c r="B276" s="308"/>
      <c r="C276" s="308"/>
      <c r="D276" s="309"/>
    </row>
    <row r="277" spans="1:4" ht="25.8" thickBot="1" x14ac:dyDescent="0.35">
      <c r="A277" s="350" t="s">
        <v>0</v>
      </c>
      <c r="B277" s="351"/>
      <c r="C277" s="351"/>
      <c r="D277" s="352"/>
    </row>
    <row r="278" spans="1:4" x14ac:dyDescent="0.3">
      <c r="A278" s="11" t="s">
        <v>1</v>
      </c>
      <c r="B278" s="3" t="str">
        <f>'ROL DE AGOSTO'!D31</f>
        <v>PAPA COQUINCHE JUAN LEVINGSTONE</v>
      </c>
      <c r="C278" s="3"/>
      <c r="D278" s="12"/>
    </row>
    <row r="279" spans="1:4" x14ac:dyDescent="0.3">
      <c r="A279" s="11" t="s">
        <v>2</v>
      </c>
      <c r="B279" s="218" t="str">
        <f>'ROL DE AGOSTO'!C31</f>
        <v>1500709041</v>
      </c>
      <c r="C279" s="4"/>
      <c r="D279" s="13"/>
    </row>
    <row r="280" spans="1:4" x14ac:dyDescent="0.3">
      <c r="A280" s="11" t="s">
        <v>3</v>
      </c>
      <c r="B280" s="3" t="str">
        <f>'ROL DE AGOSTO'!E31</f>
        <v>OPERADOR MAQUINARIA AGRICOLA</v>
      </c>
      <c r="C280" s="4"/>
      <c r="D280" s="14"/>
    </row>
    <row r="281" spans="1:4" x14ac:dyDescent="0.3">
      <c r="A281" s="11" t="s">
        <v>26</v>
      </c>
      <c r="B281" s="3" t="str">
        <f>'ROL DE AGOSTO'!A31</f>
        <v>AGOSTO</v>
      </c>
      <c r="C281" s="4"/>
      <c r="D281" s="15"/>
    </row>
    <row r="282" spans="1:4" x14ac:dyDescent="0.3">
      <c r="A282" s="11" t="s">
        <v>99</v>
      </c>
      <c r="B282" s="55">
        <f>'ROL DE AGOSTO'!B31</f>
        <v>2023</v>
      </c>
      <c r="C282" s="4"/>
      <c r="D282" s="15"/>
    </row>
    <row r="283" spans="1:4" x14ac:dyDescent="0.3">
      <c r="A283" s="203" t="s">
        <v>94</v>
      </c>
      <c r="B283" s="204"/>
      <c r="C283" s="205" t="s">
        <v>5</v>
      </c>
      <c r="D283" s="206" t="s">
        <v>6</v>
      </c>
    </row>
    <row r="284" spans="1:4" x14ac:dyDescent="0.3">
      <c r="A284" s="18"/>
      <c r="B284" s="6"/>
      <c r="C284" s="7"/>
      <c r="D284" s="19"/>
    </row>
    <row r="285" spans="1:4" x14ac:dyDescent="0.3">
      <c r="A285" s="26" t="s">
        <v>16</v>
      </c>
      <c r="B285" s="27"/>
      <c r="C285" s="28">
        <f>'ROL DE AGOSTO'!F31</f>
        <v>566</v>
      </c>
      <c r="D285" s="29"/>
    </row>
    <row r="286" spans="1:4" x14ac:dyDescent="0.3">
      <c r="A286" s="26" t="s">
        <v>105</v>
      </c>
      <c r="B286" s="27"/>
      <c r="C286" s="28"/>
      <c r="D286" s="29"/>
    </row>
    <row r="287" spans="1:4" x14ac:dyDescent="0.3">
      <c r="A287" s="26" t="s">
        <v>8</v>
      </c>
      <c r="B287" s="27"/>
      <c r="C287" s="28"/>
      <c r="D287" s="29"/>
    </row>
    <row r="288" spans="1:4" x14ac:dyDescent="0.3">
      <c r="A288" s="26" t="s">
        <v>9</v>
      </c>
      <c r="B288" s="27"/>
      <c r="C288" s="28"/>
      <c r="D288" s="29"/>
    </row>
    <row r="289" spans="1:4" ht="24" x14ac:dyDescent="0.3">
      <c r="A289" s="26"/>
      <c r="B289" s="27" t="s">
        <v>10</v>
      </c>
      <c r="C289" s="28"/>
      <c r="D289" s="29">
        <f>'ROL DE AGOSTO'!L31</f>
        <v>53.486999999999995</v>
      </c>
    </row>
    <row r="290" spans="1:4" ht="24" x14ac:dyDescent="0.3">
      <c r="A290" s="26"/>
      <c r="B290" s="27" t="s">
        <v>11</v>
      </c>
      <c r="C290" s="28"/>
      <c r="D290" s="29">
        <f>'ROL DE AGOSTO'!O31</f>
        <v>89.85</v>
      </c>
    </row>
    <row r="291" spans="1:4" x14ac:dyDescent="0.3">
      <c r="A291" s="26"/>
      <c r="B291" s="27" t="s">
        <v>55</v>
      </c>
      <c r="C291" s="28"/>
      <c r="D291" s="29">
        <f>'ROL DE AGOSTO'!S31</f>
        <v>283</v>
      </c>
    </row>
    <row r="292" spans="1:4" ht="24" x14ac:dyDescent="0.3">
      <c r="A292" s="26"/>
      <c r="B292" s="27" t="s">
        <v>18</v>
      </c>
      <c r="C292" s="28"/>
      <c r="D292" s="29">
        <f>'ROL DE AGOSTO'!P31</f>
        <v>0</v>
      </c>
    </row>
    <row r="293" spans="1:4" x14ac:dyDescent="0.3">
      <c r="A293" s="207"/>
      <c r="B293" s="208" t="s">
        <v>12</v>
      </c>
      <c r="C293" s="209">
        <f>SUM(C285:C292)</f>
        <v>566</v>
      </c>
      <c r="D293" s="210">
        <f>SUM(D285:D292)</f>
        <v>426.33699999999999</v>
      </c>
    </row>
    <row r="294" spans="1:4" ht="28.2" x14ac:dyDescent="0.3">
      <c r="A294" s="21"/>
      <c r="B294" s="45"/>
      <c r="C294" s="211" t="s">
        <v>13</v>
      </c>
      <c r="D294" s="212">
        <f>+C293-D293</f>
        <v>139.66300000000001</v>
      </c>
    </row>
    <row r="295" spans="1:4" ht="15" thickBot="1" x14ac:dyDescent="0.35">
      <c r="A295" s="23"/>
      <c r="B295" s="4" t="s">
        <v>14</v>
      </c>
      <c r="C295" s="2"/>
      <c r="D295" s="24"/>
    </row>
    <row r="296" spans="1:4" x14ac:dyDescent="0.3">
      <c r="A296" s="213" t="s">
        <v>28</v>
      </c>
      <c r="B296" s="213" t="s">
        <v>93</v>
      </c>
      <c r="C296" s="348" t="s">
        <v>30</v>
      </c>
      <c r="D296" s="349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7"/>
      <c r="B299" s="34"/>
      <c r="C299" s="32"/>
      <c r="D299" s="25"/>
    </row>
    <row r="300" spans="1:4" x14ac:dyDescent="0.3">
      <c r="A300" s="37"/>
      <c r="B300" s="34"/>
      <c r="C300" s="32"/>
      <c r="D300" s="25"/>
    </row>
    <row r="301" spans="1:4" x14ac:dyDescent="0.3">
      <c r="A301" s="37"/>
      <c r="B301" s="34"/>
      <c r="C301" s="32"/>
      <c r="D301" s="25"/>
    </row>
    <row r="302" spans="1:4" x14ac:dyDescent="0.3">
      <c r="A302" s="38" t="s">
        <v>298</v>
      </c>
      <c r="B302" s="35" t="s">
        <v>297</v>
      </c>
      <c r="C302" s="290" t="str">
        <f>'ROL INDIVIDUAL'!B278</f>
        <v>PAPA COQUINCHE JUAN LEVINGSTONE</v>
      </c>
      <c r="D302" s="291"/>
    </row>
    <row r="303" spans="1:4" ht="15" thickBot="1" x14ac:dyDescent="0.35">
      <c r="A303" s="36" t="s">
        <v>246</v>
      </c>
      <c r="B303" s="33" t="s">
        <v>299</v>
      </c>
      <c r="C303" s="353" t="str">
        <f>B279</f>
        <v>1500709041</v>
      </c>
      <c r="D303" s="354"/>
    </row>
    <row r="304" spans="1:4" x14ac:dyDescent="0.3">
      <c r="A304" s="214"/>
      <c r="B304" s="58"/>
      <c r="C304" s="59"/>
      <c r="D304" s="215"/>
    </row>
    <row r="305" spans="1:4" ht="15" thickBot="1" x14ac:dyDescent="0.35">
      <c r="A305" s="214"/>
      <c r="B305" s="58"/>
      <c r="C305" s="59"/>
      <c r="D305" s="215"/>
    </row>
    <row r="306" spans="1:4" x14ac:dyDescent="0.3">
      <c r="A306" s="294"/>
      <c r="B306" s="295"/>
      <c r="C306" s="295"/>
      <c r="D306" s="296"/>
    </row>
    <row r="307" spans="1:4" x14ac:dyDescent="0.3">
      <c r="A307" s="307"/>
      <c r="B307" s="308"/>
      <c r="C307" s="308"/>
      <c r="D307" s="309"/>
    </row>
    <row r="308" spans="1:4" ht="15" thickBot="1" x14ac:dyDescent="0.35">
      <c r="A308" s="307"/>
      <c r="B308" s="308"/>
      <c r="C308" s="308"/>
      <c r="D308" s="309"/>
    </row>
    <row r="309" spans="1:4" ht="25.8" thickBot="1" x14ac:dyDescent="0.35">
      <c r="A309" s="350" t="s">
        <v>0</v>
      </c>
      <c r="B309" s="351"/>
      <c r="C309" s="351"/>
      <c r="D309" s="352"/>
    </row>
    <row r="310" spans="1:4" x14ac:dyDescent="0.3">
      <c r="A310" s="11" t="s">
        <v>1</v>
      </c>
      <c r="B310" s="3" t="str">
        <f>'ROL DE AGOSTO'!D32</f>
        <v>VASQUEZ PUETATE XAVIER IVAN</v>
      </c>
      <c r="C310" s="3"/>
      <c r="D310" s="12"/>
    </row>
    <row r="311" spans="1:4" x14ac:dyDescent="0.3">
      <c r="A311" s="11" t="s">
        <v>2</v>
      </c>
      <c r="B311" s="218" t="str">
        <f>'ROL DE AGOSTO'!C32</f>
        <v>1712044146</v>
      </c>
      <c r="C311" s="4"/>
      <c r="D311" s="13"/>
    </row>
    <row r="312" spans="1:4" x14ac:dyDescent="0.3">
      <c r="A312" s="11" t="s">
        <v>3</v>
      </c>
      <c r="B312" s="3" t="str">
        <f>'ROL DE AGOSTO'!E32</f>
        <v>CONDUCTOR</v>
      </c>
      <c r="C312" s="4"/>
      <c r="D312" s="14"/>
    </row>
    <row r="313" spans="1:4" x14ac:dyDescent="0.3">
      <c r="A313" s="11" t="s">
        <v>26</v>
      </c>
      <c r="B313" s="3" t="str">
        <f>'ROL DE AGOSTO'!A32</f>
        <v>AGOSTO</v>
      </c>
      <c r="C313" s="4"/>
      <c r="D313" s="15"/>
    </row>
    <row r="314" spans="1:4" x14ac:dyDescent="0.3">
      <c r="A314" s="11" t="s">
        <v>99</v>
      </c>
      <c r="B314" s="55">
        <f>'ROL DE AGOSTO'!B32</f>
        <v>2023</v>
      </c>
      <c r="C314" s="4"/>
      <c r="D314" s="15"/>
    </row>
    <row r="315" spans="1:4" x14ac:dyDescent="0.3">
      <c r="A315" s="203" t="s">
        <v>94</v>
      </c>
      <c r="B315" s="204"/>
      <c r="C315" s="205" t="s">
        <v>5</v>
      </c>
      <c r="D315" s="206" t="s">
        <v>6</v>
      </c>
    </row>
    <row r="316" spans="1:4" x14ac:dyDescent="0.3">
      <c r="A316" s="18"/>
      <c r="B316" s="6"/>
      <c r="C316" s="7"/>
      <c r="D316" s="19"/>
    </row>
    <row r="317" spans="1:4" x14ac:dyDescent="0.3">
      <c r="A317" s="26" t="s">
        <v>16</v>
      </c>
      <c r="B317" s="27"/>
      <c r="C317" s="28">
        <f>'ROL DE AGOSTO'!F32</f>
        <v>584</v>
      </c>
      <c r="D317" s="29"/>
    </row>
    <row r="318" spans="1:4" x14ac:dyDescent="0.3">
      <c r="A318" s="26" t="s">
        <v>105</v>
      </c>
      <c r="B318" s="27"/>
      <c r="C318" s="28"/>
      <c r="D318" s="29"/>
    </row>
    <row r="319" spans="1:4" x14ac:dyDescent="0.3">
      <c r="A319" s="26" t="s">
        <v>8</v>
      </c>
      <c r="B319" s="27"/>
      <c r="C319" s="28"/>
      <c r="D319" s="29"/>
    </row>
    <row r="320" spans="1:4" x14ac:dyDescent="0.3">
      <c r="A320" s="26" t="s">
        <v>9</v>
      </c>
      <c r="B320" s="27"/>
      <c r="C320" s="28"/>
      <c r="D320" s="29"/>
    </row>
    <row r="321" spans="1:4" ht="24" x14ac:dyDescent="0.3">
      <c r="A321" s="26"/>
      <c r="B321" s="27" t="s">
        <v>10</v>
      </c>
      <c r="C321" s="28"/>
      <c r="D321" s="29">
        <f>'ROL DE AGOSTO'!L32</f>
        <v>55.187999999999995</v>
      </c>
    </row>
    <row r="322" spans="1:4" ht="24" x14ac:dyDescent="0.3">
      <c r="A322" s="26"/>
      <c r="B322" s="27" t="s">
        <v>307</v>
      </c>
      <c r="C322" s="28"/>
      <c r="D322" s="29">
        <f>'ROL DE AGOSTO'!O32</f>
        <v>70.42</v>
      </c>
    </row>
    <row r="323" spans="1:4" x14ac:dyDescent="0.3">
      <c r="A323" s="26"/>
      <c r="B323" s="27" t="s">
        <v>55</v>
      </c>
      <c r="C323" s="28"/>
      <c r="D323" s="29">
        <f>'ROL DE AGOSTO'!S32</f>
        <v>292</v>
      </c>
    </row>
    <row r="324" spans="1:4" x14ac:dyDescent="0.3">
      <c r="A324" s="26"/>
      <c r="B324" s="27" t="s">
        <v>306</v>
      </c>
      <c r="C324" s="28"/>
      <c r="D324" s="29">
        <f>'ROL DE AGOSTO'!Q32</f>
        <v>66.75</v>
      </c>
    </row>
    <row r="325" spans="1:4" x14ac:dyDescent="0.3">
      <c r="A325" s="207"/>
      <c r="B325" s="208" t="s">
        <v>12</v>
      </c>
      <c r="C325" s="209">
        <f>SUM(C317:C324)</f>
        <v>584</v>
      </c>
      <c r="D325" s="210">
        <f>SUM(D317:D324)</f>
        <v>484.358</v>
      </c>
    </row>
    <row r="326" spans="1:4" ht="28.2" x14ac:dyDescent="0.3">
      <c r="A326" s="21"/>
      <c r="B326" s="45"/>
      <c r="C326" s="211" t="s">
        <v>13</v>
      </c>
      <c r="D326" s="212">
        <f>+C325-D325</f>
        <v>99.641999999999996</v>
      </c>
    </row>
    <row r="327" spans="1:4" ht="15" thickBot="1" x14ac:dyDescent="0.35">
      <c r="A327" s="23"/>
      <c r="B327" s="4" t="s">
        <v>14</v>
      </c>
      <c r="C327" s="2"/>
      <c r="D327" s="24"/>
    </row>
    <row r="328" spans="1:4" x14ac:dyDescent="0.3">
      <c r="A328" s="213" t="s">
        <v>28</v>
      </c>
      <c r="B328" s="213" t="s">
        <v>93</v>
      </c>
      <c r="C328" s="348" t="s">
        <v>30</v>
      </c>
      <c r="D328" s="349"/>
    </row>
    <row r="329" spans="1:4" x14ac:dyDescent="0.3">
      <c r="A329" s="37"/>
      <c r="B329" s="34"/>
      <c r="C329" s="32"/>
      <c r="D329" s="25"/>
    </row>
    <row r="330" spans="1:4" x14ac:dyDescent="0.3">
      <c r="A330" s="37"/>
      <c r="B330" s="34"/>
      <c r="C330" s="32"/>
      <c r="D330" s="25"/>
    </row>
    <row r="331" spans="1:4" x14ac:dyDescent="0.3">
      <c r="A331" s="37"/>
      <c r="B331" s="34"/>
      <c r="C331" s="32"/>
      <c r="D331" s="25"/>
    </row>
    <row r="332" spans="1:4" x14ac:dyDescent="0.3">
      <c r="A332" s="37"/>
      <c r="B332" s="34"/>
      <c r="C332" s="32"/>
      <c r="D332" s="25"/>
    </row>
    <row r="333" spans="1:4" x14ac:dyDescent="0.3">
      <c r="A333" s="37"/>
      <c r="B333" s="34"/>
      <c r="C333" s="32"/>
      <c r="D333" s="25"/>
    </row>
    <row r="334" spans="1:4" x14ac:dyDescent="0.3">
      <c r="A334" s="38" t="s">
        <v>298</v>
      </c>
      <c r="B334" s="35" t="s">
        <v>297</v>
      </c>
      <c r="C334" s="290" t="str">
        <f>B310</f>
        <v>VASQUEZ PUETATE XAVIER IVAN</v>
      </c>
      <c r="D334" s="291"/>
    </row>
    <row r="335" spans="1:4" ht="15" thickBot="1" x14ac:dyDescent="0.35">
      <c r="A335" s="36" t="s">
        <v>246</v>
      </c>
      <c r="B335" s="33" t="s">
        <v>299</v>
      </c>
      <c r="C335" s="353" t="str">
        <f>B311</f>
        <v>1712044146</v>
      </c>
      <c r="D335" s="354"/>
    </row>
    <row r="343" spans="1:4" ht="15" thickBot="1" x14ac:dyDescent="0.35"/>
    <row r="344" spans="1:4" x14ac:dyDescent="0.3">
      <c r="A344" s="294"/>
      <c r="B344" s="295"/>
      <c r="C344" s="295"/>
      <c r="D344" s="296"/>
    </row>
    <row r="345" spans="1:4" x14ac:dyDescent="0.3">
      <c r="A345" s="307"/>
      <c r="B345" s="308"/>
      <c r="C345" s="308"/>
      <c r="D345" s="309"/>
    </row>
    <row r="346" spans="1:4" ht="15" thickBot="1" x14ac:dyDescent="0.35">
      <c r="A346" s="307"/>
      <c r="B346" s="308"/>
      <c r="C346" s="308"/>
      <c r="D346" s="309"/>
    </row>
    <row r="347" spans="1:4" ht="25.8" thickBot="1" x14ac:dyDescent="0.35">
      <c r="A347" s="350" t="s">
        <v>0</v>
      </c>
      <c r="B347" s="351"/>
      <c r="C347" s="351"/>
      <c r="D347" s="352"/>
    </row>
    <row r="348" spans="1:4" x14ac:dyDescent="0.3">
      <c r="A348" s="11" t="s">
        <v>1</v>
      </c>
      <c r="B348" s="3" t="str">
        <f>'ROL DE AGOSTO'!D33</f>
        <v>VELEZ MOREIRA HECTOR ANTONIO</v>
      </c>
      <c r="C348" s="3"/>
      <c r="D348" s="12"/>
    </row>
    <row r="349" spans="1:4" x14ac:dyDescent="0.3">
      <c r="A349" s="11" t="s">
        <v>2</v>
      </c>
      <c r="B349" s="55" t="str">
        <f>'ROL DE AGOSTO'!C33</f>
        <v>1308691953</v>
      </c>
      <c r="C349" s="4"/>
      <c r="D349" s="13"/>
    </row>
    <row r="350" spans="1:4" x14ac:dyDescent="0.3">
      <c r="A350" s="11" t="s">
        <v>3</v>
      </c>
      <c r="B350" s="3" t="str">
        <f>'ROL DE AGOSTO'!E33</f>
        <v>TRABAJADOR AMBIENTAL</v>
      </c>
      <c r="C350" s="4"/>
      <c r="D350" s="14"/>
    </row>
    <row r="351" spans="1:4" x14ac:dyDescent="0.3">
      <c r="A351" s="11" t="s">
        <v>26</v>
      </c>
      <c r="B351" s="3" t="str">
        <f>'ROL DE AGOSTO'!A33</f>
        <v>AGOSTO</v>
      </c>
      <c r="C351" s="4"/>
      <c r="D351" s="15"/>
    </row>
    <row r="352" spans="1:4" x14ac:dyDescent="0.3">
      <c r="A352" s="11" t="s">
        <v>99</v>
      </c>
      <c r="B352" s="55">
        <f>'ROL DE AGOSTO'!B33</f>
        <v>2023</v>
      </c>
      <c r="C352" s="4"/>
      <c r="D352" s="15"/>
    </row>
    <row r="353" spans="1:4" x14ac:dyDescent="0.3">
      <c r="A353" s="203" t="s">
        <v>94</v>
      </c>
      <c r="B353" s="204"/>
      <c r="C353" s="205" t="s">
        <v>5</v>
      </c>
      <c r="D353" s="206" t="s">
        <v>6</v>
      </c>
    </row>
    <row r="354" spans="1:4" x14ac:dyDescent="0.3">
      <c r="A354" s="18"/>
      <c r="B354" s="6"/>
      <c r="C354" s="7"/>
      <c r="D354" s="19"/>
    </row>
    <row r="355" spans="1:4" x14ac:dyDescent="0.3">
      <c r="A355" s="26" t="s">
        <v>16</v>
      </c>
      <c r="B355" s="27"/>
      <c r="C355" s="28">
        <f>'ROL DE AGOSTO'!F33</f>
        <v>527</v>
      </c>
      <c r="D355" s="29"/>
    </row>
    <row r="356" spans="1:4" x14ac:dyDescent="0.3">
      <c r="A356" s="26" t="s">
        <v>105</v>
      </c>
      <c r="B356" s="27"/>
      <c r="C356" s="28"/>
      <c r="D356" s="29"/>
    </row>
    <row r="357" spans="1:4" x14ac:dyDescent="0.3">
      <c r="A357" s="26" t="s">
        <v>8</v>
      </c>
      <c r="B357" s="27"/>
      <c r="C357" s="28"/>
      <c r="D357" s="29"/>
    </row>
    <row r="358" spans="1:4" x14ac:dyDescent="0.3">
      <c r="A358" s="26" t="s">
        <v>9</v>
      </c>
      <c r="B358" s="27"/>
      <c r="C358" s="28"/>
      <c r="D358" s="29"/>
    </row>
    <row r="359" spans="1:4" ht="24" x14ac:dyDescent="0.3">
      <c r="A359" s="26"/>
      <c r="B359" s="27" t="s">
        <v>10</v>
      </c>
      <c r="C359" s="28"/>
      <c r="D359" s="29">
        <f>'ROL DE AGOSTO'!L33</f>
        <v>49.80149999999999</v>
      </c>
    </row>
    <row r="360" spans="1:4" ht="24" x14ac:dyDescent="0.3">
      <c r="A360" s="26"/>
      <c r="B360" s="27" t="s">
        <v>11</v>
      </c>
      <c r="C360" s="28"/>
      <c r="D360" s="29">
        <f>'ROL DE AGOSTO'!O33</f>
        <v>0</v>
      </c>
    </row>
    <row r="361" spans="1:4" x14ac:dyDescent="0.3">
      <c r="A361" s="26"/>
      <c r="B361" s="27" t="s">
        <v>55</v>
      </c>
      <c r="C361" s="28"/>
      <c r="D361" s="29">
        <f>'ROL DE AGOSTO'!S33</f>
        <v>225.85714285714286</v>
      </c>
    </row>
    <row r="362" spans="1:4" ht="24" x14ac:dyDescent="0.3">
      <c r="A362" s="26"/>
      <c r="B362" s="27" t="s">
        <v>18</v>
      </c>
      <c r="C362" s="28"/>
      <c r="D362" s="29">
        <f>'ROL DE AGOSTO'!P33</f>
        <v>0</v>
      </c>
    </row>
    <row r="363" spans="1:4" x14ac:dyDescent="0.3">
      <c r="A363" s="207"/>
      <c r="B363" s="208" t="s">
        <v>12</v>
      </c>
      <c r="C363" s="209">
        <f>SUM(C355:C362)</f>
        <v>527</v>
      </c>
      <c r="D363" s="210">
        <f>SUM(D355:D362)</f>
        <v>275.65864285714287</v>
      </c>
    </row>
    <row r="364" spans="1:4" ht="28.2" x14ac:dyDescent="0.3">
      <c r="A364" s="21"/>
      <c r="B364" s="45"/>
      <c r="C364" s="211" t="s">
        <v>13</v>
      </c>
      <c r="D364" s="212">
        <f>+C363-D363</f>
        <v>251.34135714285713</v>
      </c>
    </row>
    <row r="365" spans="1:4" ht="15" thickBot="1" x14ac:dyDescent="0.35">
      <c r="A365" s="23"/>
      <c r="B365" s="4" t="s">
        <v>14</v>
      </c>
      <c r="C365" s="2"/>
      <c r="D365" s="24"/>
    </row>
    <row r="366" spans="1:4" x14ac:dyDescent="0.3">
      <c r="A366" s="213" t="s">
        <v>28</v>
      </c>
      <c r="B366" s="213" t="s">
        <v>93</v>
      </c>
      <c r="C366" s="348" t="s">
        <v>30</v>
      </c>
      <c r="D366" s="349"/>
    </row>
    <row r="367" spans="1:4" x14ac:dyDescent="0.3">
      <c r="A367" s="37"/>
      <c r="B367" s="34"/>
      <c r="C367" s="32"/>
      <c r="D367" s="25"/>
    </row>
    <row r="368" spans="1:4" x14ac:dyDescent="0.3">
      <c r="A368" s="37"/>
      <c r="B368" s="34"/>
      <c r="C368" s="32"/>
      <c r="D368" s="25"/>
    </row>
    <row r="369" spans="1:4" x14ac:dyDescent="0.3">
      <c r="A369" s="37"/>
      <c r="B369" s="34"/>
      <c r="C369" s="32"/>
      <c r="D369" s="25"/>
    </row>
    <row r="370" spans="1:4" x14ac:dyDescent="0.3">
      <c r="A370" s="37"/>
      <c r="B370" s="34"/>
      <c r="C370" s="32"/>
      <c r="D370" s="25"/>
    </row>
    <row r="371" spans="1:4" x14ac:dyDescent="0.3">
      <c r="A371" s="37"/>
      <c r="B371" s="34"/>
      <c r="C371" s="32"/>
      <c r="D371" s="25"/>
    </row>
    <row r="372" spans="1:4" x14ac:dyDescent="0.3">
      <c r="A372" s="38" t="s">
        <v>298</v>
      </c>
      <c r="B372" s="35" t="s">
        <v>297</v>
      </c>
      <c r="C372" s="290" t="str">
        <f>'ROL INDIVIDUAL'!B348</f>
        <v>VELEZ MOREIRA HECTOR ANTONIO</v>
      </c>
      <c r="D372" s="291"/>
    </row>
    <row r="373" spans="1:4" ht="15" thickBot="1" x14ac:dyDescent="0.35">
      <c r="A373" s="36" t="s">
        <v>246</v>
      </c>
      <c r="B373" s="33" t="s">
        <v>299</v>
      </c>
      <c r="C373" s="353" t="str">
        <f>B349</f>
        <v>1308691953</v>
      </c>
      <c r="D373" s="354"/>
    </row>
    <row r="374" spans="1:4" x14ac:dyDescent="0.3">
      <c r="A374" s="214"/>
      <c r="B374" s="58"/>
      <c r="C374" s="59"/>
      <c r="D374" s="215"/>
    </row>
    <row r="375" spans="1:4" ht="15" thickBot="1" x14ac:dyDescent="0.35">
      <c r="A375" s="214"/>
      <c r="B375" s="58"/>
      <c r="C375" s="59"/>
      <c r="D375" s="215"/>
    </row>
    <row r="376" spans="1:4" x14ac:dyDescent="0.3">
      <c r="A376" s="294"/>
      <c r="B376" s="295"/>
      <c r="C376" s="295"/>
      <c r="D376" s="296"/>
    </row>
    <row r="377" spans="1:4" x14ac:dyDescent="0.3">
      <c r="A377" s="307"/>
      <c r="B377" s="308"/>
      <c r="C377" s="308"/>
      <c r="D377" s="309"/>
    </row>
    <row r="378" spans="1:4" ht="15" thickBot="1" x14ac:dyDescent="0.35">
      <c r="A378" s="307"/>
      <c r="B378" s="308"/>
      <c r="C378" s="308"/>
      <c r="D378" s="309"/>
    </row>
    <row r="379" spans="1:4" ht="25.8" thickBot="1" x14ac:dyDescent="0.35">
      <c r="A379" s="350" t="s">
        <v>0</v>
      </c>
      <c r="B379" s="351"/>
      <c r="C379" s="351"/>
      <c r="D379" s="352"/>
    </row>
    <row r="380" spans="1:4" x14ac:dyDescent="0.3">
      <c r="A380" s="11" t="s">
        <v>1</v>
      </c>
      <c r="B380" s="3" t="str">
        <f>'ROL DE AGOSTO'!D34</f>
        <v>VILLEGAS CARVAJAL JESUS JOSE</v>
      </c>
      <c r="C380" s="3"/>
      <c r="D380" s="12"/>
    </row>
    <row r="381" spans="1:4" x14ac:dyDescent="0.3">
      <c r="A381" s="11" t="s">
        <v>2</v>
      </c>
      <c r="B381" s="218" t="str">
        <f>'ROL DE AGOSTO'!C34</f>
        <v>2200590038</v>
      </c>
      <c r="C381" s="4"/>
      <c r="D381" s="13"/>
    </row>
    <row r="382" spans="1:4" x14ac:dyDescent="0.3">
      <c r="A382" s="11" t="s">
        <v>3</v>
      </c>
      <c r="B382" s="3" t="str">
        <f>'ROL DE AGOSTO'!E34</f>
        <v>GUARDIA</v>
      </c>
      <c r="C382" s="4"/>
      <c r="D382" s="14"/>
    </row>
    <row r="383" spans="1:4" x14ac:dyDescent="0.3">
      <c r="A383" s="11" t="s">
        <v>26</v>
      </c>
      <c r="B383" s="3" t="str">
        <f>'ROL DE AGOSTO'!A34</f>
        <v>AGOSTO</v>
      </c>
      <c r="C383" s="4"/>
      <c r="D383" s="15"/>
    </row>
    <row r="384" spans="1:4" x14ac:dyDescent="0.3">
      <c r="A384" s="11" t="s">
        <v>99</v>
      </c>
      <c r="B384" s="55">
        <f>'ROL DE AGOSTO'!B34</f>
        <v>2023</v>
      </c>
      <c r="C384" s="4"/>
      <c r="D384" s="15"/>
    </row>
    <row r="385" spans="1:4" x14ac:dyDescent="0.3">
      <c r="A385" s="203" t="s">
        <v>94</v>
      </c>
      <c r="B385" s="204"/>
      <c r="C385" s="205" t="s">
        <v>5</v>
      </c>
      <c r="D385" s="206" t="s">
        <v>6</v>
      </c>
    </row>
    <row r="386" spans="1:4" x14ac:dyDescent="0.3">
      <c r="A386" s="18"/>
      <c r="B386" s="6"/>
      <c r="C386" s="7"/>
      <c r="D386" s="19"/>
    </row>
    <row r="387" spans="1:4" x14ac:dyDescent="0.3">
      <c r="A387" s="26" t="s">
        <v>16</v>
      </c>
      <c r="B387" s="27"/>
      <c r="C387" s="28">
        <f>'ROL DE AGOSTO'!F34</f>
        <v>500</v>
      </c>
      <c r="D387" s="29"/>
    </row>
    <row r="388" spans="1:4" x14ac:dyDescent="0.3">
      <c r="A388" s="26" t="s">
        <v>105</v>
      </c>
      <c r="B388" s="27"/>
      <c r="C388" s="28"/>
      <c r="D388" s="29"/>
    </row>
    <row r="389" spans="1:4" x14ac:dyDescent="0.3">
      <c r="A389" s="26" t="s">
        <v>8</v>
      </c>
      <c r="B389" s="27"/>
      <c r="C389" s="28"/>
      <c r="D389" s="29"/>
    </row>
    <row r="390" spans="1:4" x14ac:dyDescent="0.3">
      <c r="A390" s="26" t="s">
        <v>9</v>
      </c>
      <c r="B390" s="27"/>
      <c r="C390" s="28"/>
      <c r="D390" s="29"/>
    </row>
    <row r="391" spans="1:4" ht="24" x14ac:dyDescent="0.3">
      <c r="A391" s="26"/>
      <c r="B391" s="27" t="s">
        <v>10</v>
      </c>
      <c r="C391" s="28"/>
      <c r="D391" s="29">
        <f>'ROL DE AGOSTO'!L34</f>
        <v>47.249999999999993</v>
      </c>
    </row>
    <row r="392" spans="1:4" ht="24" x14ac:dyDescent="0.3">
      <c r="A392" s="26"/>
      <c r="B392" s="27" t="s">
        <v>11</v>
      </c>
      <c r="C392" s="28"/>
      <c r="D392" s="29">
        <f>'ROL DE AGOSTO'!O34</f>
        <v>29.04</v>
      </c>
    </row>
    <row r="393" spans="1:4" x14ac:dyDescent="0.3">
      <c r="A393" s="26"/>
      <c r="B393" s="27" t="s">
        <v>55</v>
      </c>
      <c r="C393" s="28"/>
      <c r="D393" s="29">
        <f>'ROL DE AGOSTO'!S34</f>
        <v>203.9</v>
      </c>
    </row>
    <row r="394" spans="1:4" ht="24" x14ac:dyDescent="0.3">
      <c r="A394" s="26"/>
      <c r="B394" s="27" t="s">
        <v>18</v>
      </c>
      <c r="C394" s="28"/>
      <c r="D394" s="29">
        <f>'ROL DE AGOSTO'!P34</f>
        <v>0</v>
      </c>
    </row>
    <row r="395" spans="1:4" x14ac:dyDescent="0.3">
      <c r="A395" s="207"/>
      <c r="B395" s="208" t="s">
        <v>12</v>
      </c>
      <c r="C395" s="209">
        <f>SUM(C387:C394)</f>
        <v>500</v>
      </c>
      <c r="D395" s="210">
        <f>SUM(D387:D394)</f>
        <v>280.19</v>
      </c>
    </row>
    <row r="396" spans="1:4" ht="28.2" x14ac:dyDescent="0.3">
      <c r="A396" s="21"/>
      <c r="B396" s="45"/>
      <c r="C396" s="211" t="s">
        <v>13</v>
      </c>
      <c r="D396" s="212">
        <f>+C395-D395</f>
        <v>219.81</v>
      </c>
    </row>
    <row r="397" spans="1:4" ht="15" thickBot="1" x14ac:dyDescent="0.35">
      <c r="A397" s="23"/>
      <c r="B397" s="4" t="s">
        <v>14</v>
      </c>
      <c r="C397" s="2"/>
      <c r="D397" s="24"/>
    </row>
    <row r="398" spans="1:4" x14ac:dyDescent="0.3">
      <c r="A398" s="213" t="s">
        <v>28</v>
      </c>
      <c r="B398" s="213" t="s">
        <v>93</v>
      </c>
      <c r="C398" s="348" t="s">
        <v>30</v>
      </c>
      <c r="D398" s="349"/>
    </row>
    <row r="399" spans="1:4" x14ac:dyDescent="0.3">
      <c r="A399" s="37"/>
      <c r="B399" s="34"/>
      <c r="C399" s="32"/>
      <c r="D399" s="25"/>
    </row>
    <row r="400" spans="1:4" x14ac:dyDescent="0.3">
      <c r="A400" s="37"/>
      <c r="B400" s="34"/>
      <c r="C400" s="32"/>
      <c r="D400" s="25"/>
    </row>
    <row r="401" spans="1:4" x14ac:dyDescent="0.3">
      <c r="A401" s="37"/>
      <c r="B401" s="34"/>
      <c r="C401" s="32"/>
      <c r="D401" s="25"/>
    </row>
    <row r="402" spans="1:4" x14ac:dyDescent="0.3">
      <c r="A402" s="37"/>
      <c r="B402" s="34"/>
      <c r="C402" s="32"/>
      <c r="D402" s="25"/>
    </row>
    <row r="403" spans="1:4" x14ac:dyDescent="0.3">
      <c r="A403" s="37"/>
      <c r="B403" s="34"/>
      <c r="C403" s="32"/>
      <c r="D403" s="25"/>
    </row>
    <row r="404" spans="1:4" x14ac:dyDescent="0.3">
      <c r="A404" s="38" t="s">
        <v>298</v>
      </c>
      <c r="B404" s="35" t="s">
        <v>297</v>
      </c>
      <c r="C404" s="290" t="str">
        <f>B380</f>
        <v>VILLEGAS CARVAJAL JESUS JOSE</v>
      </c>
      <c r="D404" s="291"/>
    </row>
    <row r="405" spans="1:4" ht="15" thickBot="1" x14ac:dyDescent="0.35">
      <c r="A405" s="36" t="s">
        <v>246</v>
      </c>
      <c r="B405" s="33" t="s">
        <v>299</v>
      </c>
      <c r="C405" s="353" t="str">
        <f>B381</f>
        <v>2200590038</v>
      </c>
      <c r="D405" s="354"/>
    </row>
    <row r="413" spans="1:4" ht="15" thickBot="1" x14ac:dyDescent="0.35"/>
    <row r="414" spans="1:4" x14ac:dyDescent="0.3">
      <c r="A414" s="294"/>
      <c r="B414" s="295"/>
      <c r="C414" s="295"/>
      <c r="D414" s="296"/>
    </row>
    <row r="415" spans="1:4" x14ac:dyDescent="0.3">
      <c r="A415" s="307"/>
      <c r="B415" s="308"/>
      <c r="C415" s="308"/>
      <c r="D415" s="309"/>
    </row>
    <row r="416" spans="1:4" ht="15" thickBot="1" x14ac:dyDescent="0.35">
      <c r="A416" s="307"/>
      <c r="B416" s="308"/>
      <c r="C416" s="308"/>
      <c r="D416" s="309"/>
    </row>
    <row r="417" spans="1:4" ht="25.8" thickBot="1" x14ac:dyDescent="0.35">
      <c r="A417" s="350" t="s">
        <v>0</v>
      </c>
      <c r="B417" s="351"/>
      <c r="C417" s="351"/>
      <c r="D417" s="352"/>
    </row>
    <row r="418" spans="1:4" x14ac:dyDescent="0.3">
      <c r="A418" s="11" t="s">
        <v>1</v>
      </c>
      <c r="B418" s="3" t="str">
        <f>'ROL DE AGOSTO'!D35</f>
        <v>ZAMORA MACIAS RAMON CRISTOBAL</v>
      </c>
      <c r="C418" s="3"/>
      <c r="D418" s="12"/>
    </row>
    <row r="419" spans="1:4" x14ac:dyDescent="0.3">
      <c r="A419" s="11" t="s">
        <v>2</v>
      </c>
      <c r="B419" s="55" t="str">
        <f>'ROL DE AGOSTO'!C35</f>
        <v>1500660749</v>
      </c>
      <c r="C419" s="4"/>
      <c r="D419" s="13"/>
    </row>
    <row r="420" spans="1:4" x14ac:dyDescent="0.3">
      <c r="A420" s="11" t="s">
        <v>3</v>
      </c>
      <c r="B420" s="3" t="str">
        <f>'ROL DE AGOSTO'!E35</f>
        <v>CONDUCTOR</v>
      </c>
      <c r="C420" s="4"/>
      <c r="D420" s="14"/>
    </row>
    <row r="421" spans="1:4" x14ac:dyDescent="0.3">
      <c r="A421" s="11" t="s">
        <v>26</v>
      </c>
      <c r="B421" s="3" t="str">
        <f>'ROL DE AGOSTO'!A35</f>
        <v>AGOSTO</v>
      </c>
      <c r="C421" s="4"/>
      <c r="D421" s="15"/>
    </row>
    <row r="422" spans="1:4" x14ac:dyDescent="0.3">
      <c r="A422" s="11" t="s">
        <v>99</v>
      </c>
      <c r="B422" s="55">
        <f>'ROL DE AGOSTO'!B35</f>
        <v>2023</v>
      </c>
      <c r="C422" s="4"/>
      <c r="D422" s="15"/>
    </row>
    <row r="423" spans="1:4" x14ac:dyDescent="0.3">
      <c r="A423" s="203" t="s">
        <v>94</v>
      </c>
      <c r="B423" s="204"/>
      <c r="C423" s="205" t="s">
        <v>5</v>
      </c>
      <c r="D423" s="206" t="s">
        <v>6</v>
      </c>
    </row>
    <row r="424" spans="1:4" x14ac:dyDescent="0.3">
      <c r="A424" s="18"/>
      <c r="B424" s="6"/>
      <c r="C424" s="7"/>
      <c r="D424" s="19"/>
    </row>
    <row r="425" spans="1:4" x14ac:dyDescent="0.3">
      <c r="A425" s="26" t="s">
        <v>16</v>
      </c>
      <c r="B425" s="27"/>
      <c r="C425" s="28">
        <f>'ROL DE AGOSTO'!F35</f>
        <v>614</v>
      </c>
      <c r="D425" s="29"/>
    </row>
    <row r="426" spans="1:4" x14ac:dyDescent="0.3">
      <c r="A426" s="26" t="s">
        <v>105</v>
      </c>
      <c r="B426" s="27"/>
      <c r="C426" s="28"/>
      <c r="D426" s="29"/>
    </row>
    <row r="427" spans="1:4" x14ac:dyDescent="0.3">
      <c r="A427" s="26" t="s">
        <v>8</v>
      </c>
      <c r="B427" s="27"/>
      <c r="C427" s="28"/>
      <c r="D427" s="29"/>
    </row>
    <row r="428" spans="1:4" x14ac:dyDescent="0.3">
      <c r="A428" s="26" t="s">
        <v>9</v>
      </c>
      <c r="B428" s="27"/>
      <c r="C428" s="28"/>
      <c r="D428" s="29"/>
    </row>
    <row r="429" spans="1:4" ht="24" x14ac:dyDescent="0.3">
      <c r="A429" s="26"/>
      <c r="B429" s="27" t="s">
        <v>10</v>
      </c>
      <c r="C429" s="28"/>
      <c r="D429" s="29">
        <f>'ROL DE AGOSTO'!L35</f>
        <v>58.022999999999989</v>
      </c>
    </row>
    <row r="430" spans="1:4" ht="24" x14ac:dyDescent="0.3">
      <c r="A430" s="26"/>
      <c r="B430" s="27" t="s">
        <v>11</v>
      </c>
      <c r="C430" s="28"/>
      <c r="D430" s="29">
        <f>'ROL DE AGOSTO'!O35</f>
        <v>0</v>
      </c>
    </row>
    <row r="431" spans="1:4" x14ac:dyDescent="0.3">
      <c r="A431" s="26"/>
      <c r="B431" s="27" t="s">
        <v>55</v>
      </c>
      <c r="C431" s="28"/>
      <c r="D431" s="29">
        <f>'ROL DE AGOSTO'!S35</f>
        <v>169.8</v>
      </c>
    </row>
    <row r="432" spans="1:4" ht="24" x14ac:dyDescent="0.3">
      <c r="A432" s="26"/>
      <c r="B432" s="27" t="s">
        <v>18</v>
      </c>
      <c r="C432" s="28"/>
      <c r="D432" s="29">
        <f>'ROL DE AGOSTO'!P35</f>
        <v>0</v>
      </c>
    </row>
    <row r="433" spans="1:4" x14ac:dyDescent="0.3">
      <c r="A433" s="207"/>
      <c r="B433" s="208" t="s">
        <v>12</v>
      </c>
      <c r="C433" s="209">
        <f>SUM(C425:C432)</f>
        <v>614</v>
      </c>
      <c r="D433" s="210">
        <f>SUM(D425:D432)</f>
        <v>227.82300000000001</v>
      </c>
    </row>
    <row r="434" spans="1:4" ht="28.2" x14ac:dyDescent="0.3">
      <c r="A434" s="21"/>
      <c r="B434" s="45"/>
      <c r="C434" s="211" t="s">
        <v>13</v>
      </c>
      <c r="D434" s="212">
        <f>+C433-D433</f>
        <v>386.17700000000002</v>
      </c>
    </row>
    <row r="435" spans="1:4" ht="15" thickBot="1" x14ac:dyDescent="0.35">
      <c r="A435" s="23"/>
      <c r="B435" s="4" t="s">
        <v>14</v>
      </c>
      <c r="C435" s="2"/>
      <c r="D435" s="24"/>
    </row>
    <row r="436" spans="1:4" x14ac:dyDescent="0.3">
      <c r="A436" s="213" t="s">
        <v>28</v>
      </c>
      <c r="B436" s="213" t="s">
        <v>93</v>
      </c>
      <c r="C436" s="348" t="s">
        <v>30</v>
      </c>
      <c r="D436" s="349"/>
    </row>
    <row r="437" spans="1:4" x14ac:dyDescent="0.3">
      <c r="A437" s="37"/>
      <c r="B437" s="34"/>
      <c r="C437" s="32"/>
      <c r="D437" s="2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8" t="s">
        <v>298</v>
      </c>
      <c r="B442" s="35" t="s">
        <v>297</v>
      </c>
      <c r="C442" s="290" t="str">
        <f>'ROL INDIVIDUAL'!B418</f>
        <v>ZAMORA MACIAS RAMON CRISTOBAL</v>
      </c>
      <c r="D442" s="291"/>
    </row>
    <row r="443" spans="1:4" ht="15" thickBot="1" x14ac:dyDescent="0.35">
      <c r="A443" s="36" t="s">
        <v>246</v>
      </c>
      <c r="B443" s="33" t="s">
        <v>299</v>
      </c>
      <c r="C443" s="353" t="str">
        <f>B419</f>
        <v>1500660749</v>
      </c>
      <c r="D443" s="354"/>
    </row>
    <row r="444" spans="1:4" x14ac:dyDescent="0.3">
      <c r="A444" s="214"/>
      <c r="B444" s="58"/>
      <c r="C444" s="59"/>
      <c r="D444" s="215"/>
    </row>
    <row r="445" spans="1:4" ht="15" thickBot="1" x14ac:dyDescent="0.35">
      <c r="A445" s="214"/>
      <c r="B445" s="58"/>
      <c r="C445" s="59"/>
      <c r="D445" s="215"/>
    </row>
    <row r="446" spans="1:4" x14ac:dyDescent="0.3">
      <c r="A446" s="294"/>
      <c r="B446" s="295"/>
      <c r="C446" s="295"/>
      <c r="D446" s="296"/>
    </row>
    <row r="447" spans="1:4" x14ac:dyDescent="0.3">
      <c r="A447" s="307"/>
      <c r="B447" s="308"/>
      <c r="C447" s="308"/>
      <c r="D447" s="309"/>
    </row>
    <row r="448" spans="1:4" ht="15" thickBot="1" x14ac:dyDescent="0.35">
      <c r="A448" s="307"/>
      <c r="B448" s="308"/>
      <c r="C448" s="308"/>
      <c r="D448" s="309"/>
    </row>
    <row r="449" spans="1:4" ht="25.8" thickBot="1" x14ac:dyDescent="0.35">
      <c r="A449" s="350" t="s">
        <v>0</v>
      </c>
      <c r="B449" s="351"/>
      <c r="C449" s="351"/>
      <c r="D449" s="352"/>
    </row>
    <row r="450" spans="1:4" x14ac:dyDescent="0.3">
      <c r="A450" s="11" t="s">
        <v>1</v>
      </c>
      <c r="B450" s="3" t="str">
        <f>'ROL DE AGOSTO'!D58</f>
        <v>CALAPUCHA SALAZAR DINA MAGALY</v>
      </c>
      <c r="C450" s="3"/>
      <c r="D450" s="12"/>
    </row>
    <row r="451" spans="1:4" x14ac:dyDescent="0.3">
      <c r="A451" s="11" t="s">
        <v>2</v>
      </c>
      <c r="B451" s="218">
        <f>'ROL DE AGOSTO'!C58</f>
        <v>2200446587</v>
      </c>
      <c r="C451" s="4"/>
      <c r="D451" s="13"/>
    </row>
    <row r="452" spans="1:4" x14ac:dyDescent="0.3">
      <c r="A452" s="11" t="s">
        <v>3</v>
      </c>
      <c r="B452" s="3" t="str">
        <f>'ROL DE AGOSTO'!E58</f>
        <v>ASISTENTE_ADMINISTRATIVO</v>
      </c>
      <c r="C452" s="4"/>
      <c r="D452" s="14"/>
    </row>
    <row r="453" spans="1:4" x14ac:dyDescent="0.3">
      <c r="A453" s="11" t="s">
        <v>26</v>
      </c>
      <c r="B453" s="3" t="str">
        <f>'ROL DE AGOSTO'!A60</f>
        <v>AGOSTO</v>
      </c>
      <c r="C453" s="4"/>
      <c r="D453" s="15"/>
    </row>
    <row r="454" spans="1:4" x14ac:dyDescent="0.3">
      <c r="A454" s="11" t="s">
        <v>99</v>
      </c>
      <c r="B454" s="55">
        <f>'ROL DE AGOSTO'!B58</f>
        <v>2023</v>
      </c>
      <c r="C454" s="4"/>
      <c r="D454" s="15"/>
    </row>
    <row r="455" spans="1:4" x14ac:dyDescent="0.3">
      <c r="A455" s="203" t="s">
        <v>94</v>
      </c>
      <c r="B455" s="204"/>
      <c r="C455" s="205" t="s">
        <v>5</v>
      </c>
      <c r="D455" s="206" t="s">
        <v>6</v>
      </c>
    </row>
    <row r="456" spans="1:4" x14ac:dyDescent="0.3">
      <c r="A456" s="18"/>
      <c r="B456" s="6"/>
      <c r="C456" s="7"/>
      <c r="D456" s="19"/>
    </row>
    <row r="457" spans="1:4" x14ac:dyDescent="0.3">
      <c r="A457" s="26" t="s">
        <v>16</v>
      </c>
      <c r="B457" s="27"/>
      <c r="C457" s="28">
        <f>'ROL DE AGOSTO'!H58</f>
        <v>527</v>
      </c>
      <c r="D457" s="29"/>
    </row>
    <row r="458" spans="1:4" x14ac:dyDescent="0.3">
      <c r="A458" s="26" t="s">
        <v>105</v>
      </c>
      <c r="B458" s="27"/>
      <c r="C458" s="28"/>
      <c r="D458" s="29"/>
    </row>
    <row r="459" spans="1:4" x14ac:dyDescent="0.3">
      <c r="A459" s="26" t="s">
        <v>8</v>
      </c>
      <c r="B459" s="27"/>
      <c r="C459" s="28">
        <f>'ROL DE AGOSTO'!I58</f>
        <v>43.916666666666664</v>
      </c>
      <c r="D459" s="29"/>
    </row>
    <row r="460" spans="1:4" x14ac:dyDescent="0.3">
      <c r="A460" s="26" t="s">
        <v>9</v>
      </c>
      <c r="B460" s="27"/>
      <c r="C460" s="28">
        <f>'ROL DE AGOSTO'!J58</f>
        <v>37.5</v>
      </c>
      <c r="D460" s="29"/>
    </row>
    <row r="461" spans="1:4" ht="24" x14ac:dyDescent="0.3">
      <c r="A461" s="26"/>
      <c r="B461" s="27" t="s">
        <v>10</v>
      </c>
      <c r="C461" s="28"/>
      <c r="D461" s="29">
        <f>'ROL DE AGOSTO'!L58</f>
        <v>60.341499999999996</v>
      </c>
    </row>
    <row r="462" spans="1:4" ht="24" x14ac:dyDescent="0.3">
      <c r="A462" s="26"/>
      <c r="B462" s="27" t="s">
        <v>11</v>
      </c>
      <c r="C462" s="28"/>
      <c r="D462" s="29">
        <f>'ROL DE AGOSTO'!O58</f>
        <v>0</v>
      </c>
    </row>
    <row r="463" spans="1:4" x14ac:dyDescent="0.3">
      <c r="A463" s="26"/>
      <c r="B463" s="27" t="s">
        <v>55</v>
      </c>
      <c r="C463" s="28"/>
      <c r="D463" s="29">
        <f>'ROL DE AGOSTO'!S58</f>
        <v>0</v>
      </c>
    </row>
    <row r="464" spans="1:4" ht="24" x14ac:dyDescent="0.3">
      <c r="A464" s="26"/>
      <c r="B464" s="27" t="s">
        <v>18</v>
      </c>
      <c r="C464" s="28"/>
      <c r="D464" s="29">
        <f>'ROL DE AGOSTO'!P58</f>
        <v>0</v>
      </c>
    </row>
    <row r="465" spans="1:4" x14ac:dyDescent="0.3">
      <c r="A465" s="207"/>
      <c r="B465" s="208" t="s">
        <v>12</v>
      </c>
      <c r="C465" s="209">
        <f>SUM(C457:C464)</f>
        <v>608.41666666666663</v>
      </c>
      <c r="D465" s="210">
        <f>SUM(D457:D464)</f>
        <v>60.341499999999996</v>
      </c>
    </row>
    <row r="466" spans="1:4" ht="28.2" x14ac:dyDescent="0.3">
      <c r="A466" s="21"/>
      <c r="B466" s="45"/>
      <c r="C466" s="211" t="s">
        <v>13</v>
      </c>
      <c r="D466" s="212">
        <f>+C465-D465</f>
        <v>548.07516666666663</v>
      </c>
    </row>
    <row r="467" spans="1:4" ht="15" thickBot="1" x14ac:dyDescent="0.35">
      <c r="A467" s="23"/>
      <c r="B467" s="4" t="s">
        <v>14</v>
      </c>
      <c r="C467" s="2"/>
      <c r="D467" s="24"/>
    </row>
    <row r="468" spans="1:4" x14ac:dyDescent="0.3">
      <c r="A468" s="213" t="s">
        <v>28</v>
      </c>
      <c r="B468" s="213" t="s">
        <v>93</v>
      </c>
      <c r="C468" s="348" t="s">
        <v>30</v>
      </c>
      <c r="D468" s="349"/>
    </row>
    <row r="469" spans="1:4" x14ac:dyDescent="0.3">
      <c r="A469" s="37"/>
      <c r="B469" s="34"/>
      <c r="C469" s="32"/>
      <c r="D469" s="25"/>
    </row>
    <row r="470" spans="1:4" x14ac:dyDescent="0.3">
      <c r="A470" s="37"/>
      <c r="B470" s="34"/>
      <c r="C470" s="32"/>
      <c r="D470" s="25"/>
    </row>
    <row r="471" spans="1:4" x14ac:dyDescent="0.3">
      <c r="A471" s="37"/>
      <c r="B471" s="34"/>
      <c r="C471" s="32"/>
      <c r="D471" s="25"/>
    </row>
    <row r="472" spans="1:4" x14ac:dyDescent="0.3">
      <c r="A472" s="37"/>
      <c r="B472" s="34"/>
      <c r="C472" s="32"/>
      <c r="D472" s="25"/>
    </row>
    <row r="473" spans="1:4" x14ac:dyDescent="0.3">
      <c r="A473" s="37"/>
      <c r="B473" s="34"/>
      <c r="C473" s="32"/>
      <c r="D473" s="25"/>
    </row>
    <row r="474" spans="1:4" x14ac:dyDescent="0.3">
      <c r="A474" s="38" t="s">
        <v>298</v>
      </c>
      <c r="B474" s="35" t="s">
        <v>297</v>
      </c>
      <c r="C474" s="290" t="str">
        <f>B450</f>
        <v>CALAPUCHA SALAZAR DINA MAGALY</v>
      </c>
      <c r="D474" s="291"/>
    </row>
    <row r="475" spans="1:4" ht="15" thickBot="1" x14ac:dyDescent="0.35">
      <c r="A475" s="36" t="s">
        <v>246</v>
      </c>
      <c r="B475" s="33" t="s">
        <v>299</v>
      </c>
      <c r="C475" s="353">
        <f>B451</f>
        <v>2200446587</v>
      </c>
      <c r="D475" s="354"/>
    </row>
    <row r="483" spans="1:4" ht="15" thickBot="1" x14ac:dyDescent="0.35"/>
    <row r="484" spans="1:4" x14ac:dyDescent="0.3">
      <c r="A484" s="294"/>
      <c r="B484" s="295"/>
      <c r="C484" s="295"/>
      <c r="D484" s="296"/>
    </row>
    <row r="485" spans="1:4" x14ac:dyDescent="0.3">
      <c r="A485" s="307"/>
      <c r="B485" s="308"/>
      <c r="C485" s="308"/>
      <c r="D485" s="309"/>
    </row>
    <row r="486" spans="1:4" ht="15" thickBot="1" x14ac:dyDescent="0.35">
      <c r="A486" s="307"/>
      <c r="B486" s="308"/>
      <c r="C486" s="308"/>
      <c r="D486" s="309"/>
    </row>
    <row r="487" spans="1:4" ht="25.8" thickBot="1" x14ac:dyDescent="0.35">
      <c r="A487" s="350" t="s">
        <v>0</v>
      </c>
      <c r="B487" s="351"/>
      <c r="C487" s="351"/>
      <c r="D487" s="352"/>
    </row>
    <row r="488" spans="1:4" x14ac:dyDescent="0.3">
      <c r="A488" s="11" t="s">
        <v>1</v>
      </c>
      <c r="B488" s="3" t="str">
        <f>'ROL DE AGOSTO'!D59</f>
        <v>ALARCON NARANJO PEDRO DANIEL</v>
      </c>
      <c r="C488" s="3"/>
      <c r="D488" s="12"/>
    </row>
    <row r="489" spans="1:4" x14ac:dyDescent="0.3">
      <c r="A489" s="11" t="s">
        <v>2</v>
      </c>
      <c r="B489" s="10" t="str">
        <f>'ROL DE AGOSTO'!C59</f>
        <v>0201172517</v>
      </c>
      <c r="C489" s="4"/>
      <c r="D489" s="13"/>
    </row>
    <row r="490" spans="1:4" x14ac:dyDescent="0.3">
      <c r="A490" s="11" t="s">
        <v>3</v>
      </c>
      <c r="B490" s="3" t="str">
        <f>'ROL DE AGOSTO'!E59</f>
        <v>TECNICO DE PLANIFICACION</v>
      </c>
      <c r="C490" s="4"/>
      <c r="D490" s="14"/>
    </row>
    <row r="491" spans="1:4" x14ac:dyDescent="0.3">
      <c r="A491" s="11" t="s">
        <v>26</v>
      </c>
      <c r="B491" s="3" t="str">
        <f>'ROL DE AGOSTO'!A59</f>
        <v>AGOSTO</v>
      </c>
      <c r="C491" s="4"/>
      <c r="D491" s="15"/>
    </row>
    <row r="492" spans="1:4" x14ac:dyDescent="0.3">
      <c r="A492" s="11" t="s">
        <v>99</v>
      </c>
      <c r="B492" s="55">
        <f>'ROL DE AGOSTO'!B59</f>
        <v>2023</v>
      </c>
      <c r="C492" s="4"/>
      <c r="D492" s="15"/>
    </row>
    <row r="493" spans="1:4" x14ac:dyDescent="0.3">
      <c r="A493" s="203" t="s">
        <v>94</v>
      </c>
      <c r="B493" s="204"/>
      <c r="C493" s="205" t="s">
        <v>5</v>
      </c>
      <c r="D493" s="206" t="s">
        <v>6</v>
      </c>
    </row>
    <row r="494" spans="1:4" x14ac:dyDescent="0.3">
      <c r="A494" s="18"/>
      <c r="B494" s="6"/>
      <c r="C494" s="7"/>
      <c r="D494" s="19"/>
    </row>
    <row r="495" spans="1:4" x14ac:dyDescent="0.3">
      <c r="A495" s="26" t="s">
        <v>16</v>
      </c>
      <c r="B495" s="27"/>
      <c r="C495" s="28">
        <f>'ROL DE AGOSTO'!F59</f>
        <v>1212</v>
      </c>
      <c r="D495" s="29"/>
    </row>
    <row r="496" spans="1:4" x14ac:dyDescent="0.3">
      <c r="A496" s="26" t="s">
        <v>105</v>
      </c>
      <c r="B496" s="27"/>
      <c r="C496" s="28"/>
      <c r="D496" s="29"/>
    </row>
    <row r="497" spans="1:4" x14ac:dyDescent="0.3">
      <c r="A497" s="26" t="s">
        <v>8</v>
      </c>
      <c r="B497" s="27"/>
      <c r="C497" s="28">
        <f>'ROL DE AGOSTO'!I59</f>
        <v>101</v>
      </c>
      <c r="D497" s="29"/>
    </row>
    <row r="498" spans="1:4" x14ac:dyDescent="0.3">
      <c r="A498" s="26" t="s">
        <v>9</v>
      </c>
      <c r="B498" s="27"/>
      <c r="C498" s="28">
        <f>'ROL DE AGOSTO'!J59</f>
        <v>37.5</v>
      </c>
      <c r="D498" s="29"/>
    </row>
    <row r="499" spans="1:4" ht="24" x14ac:dyDescent="0.3">
      <c r="A499" s="26"/>
      <c r="B499" s="27" t="s">
        <v>10</v>
      </c>
      <c r="C499" s="28"/>
      <c r="D499" s="29">
        <f>'ROL DE AGOSTO'!L59</f>
        <v>138.774</v>
      </c>
    </row>
    <row r="500" spans="1:4" ht="24" x14ac:dyDescent="0.3">
      <c r="A500" s="26"/>
      <c r="B500" s="27" t="s">
        <v>11</v>
      </c>
      <c r="C500" s="28"/>
      <c r="D500" s="29">
        <f>'ROL DE AGOSTO'!O59</f>
        <v>0</v>
      </c>
    </row>
    <row r="501" spans="1:4" x14ac:dyDescent="0.3">
      <c r="A501" s="26"/>
      <c r="B501" s="27" t="s">
        <v>55</v>
      </c>
      <c r="C501" s="28"/>
      <c r="D501" s="29">
        <f>'ROL DE AGOSTO'!S59</f>
        <v>18.75</v>
      </c>
    </row>
    <row r="502" spans="1:4" ht="24" x14ac:dyDescent="0.3">
      <c r="A502" s="26"/>
      <c r="B502" s="27" t="s">
        <v>18</v>
      </c>
      <c r="C502" s="28"/>
      <c r="D502" s="29">
        <f>'ROL DE AGOSTO'!P59</f>
        <v>127.91</v>
      </c>
    </row>
    <row r="503" spans="1:4" x14ac:dyDescent="0.3">
      <c r="A503" s="207"/>
      <c r="B503" s="208" t="s">
        <v>12</v>
      </c>
      <c r="C503" s="209">
        <f>SUM(C495:C502)</f>
        <v>1350.5</v>
      </c>
      <c r="D503" s="210">
        <f>SUM(D495:D502)</f>
        <v>285.43399999999997</v>
      </c>
    </row>
    <row r="504" spans="1:4" ht="28.2" x14ac:dyDescent="0.3">
      <c r="A504" s="21"/>
      <c r="B504" s="45"/>
      <c r="C504" s="211" t="s">
        <v>13</v>
      </c>
      <c r="D504" s="212">
        <f>+C503-D503</f>
        <v>1065.066</v>
      </c>
    </row>
    <row r="505" spans="1:4" ht="15" thickBot="1" x14ac:dyDescent="0.35">
      <c r="A505" s="23"/>
      <c r="B505" s="4" t="s">
        <v>14</v>
      </c>
      <c r="C505" s="2"/>
      <c r="D505" s="24"/>
    </row>
    <row r="506" spans="1:4" x14ac:dyDescent="0.3">
      <c r="A506" s="213" t="s">
        <v>28</v>
      </c>
      <c r="B506" s="213" t="s">
        <v>93</v>
      </c>
      <c r="C506" s="348" t="s">
        <v>30</v>
      </c>
      <c r="D506" s="349"/>
    </row>
    <row r="507" spans="1:4" x14ac:dyDescent="0.3">
      <c r="A507" s="37"/>
      <c r="B507" s="34"/>
      <c r="C507" s="32"/>
      <c r="D507" s="25"/>
    </row>
    <row r="508" spans="1:4" x14ac:dyDescent="0.3">
      <c r="A508" s="37"/>
      <c r="B508" s="34"/>
      <c r="C508" s="32"/>
      <c r="D508" s="25"/>
    </row>
    <row r="509" spans="1:4" x14ac:dyDescent="0.3">
      <c r="A509" s="37"/>
      <c r="B509" s="34"/>
      <c r="C509" s="32"/>
      <c r="D509" s="25"/>
    </row>
    <row r="510" spans="1:4" x14ac:dyDescent="0.3">
      <c r="A510" s="37"/>
      <c r="B510" s="34"/>
      <c r="C510" s="32"/>
      <c r="D510" s="25"/>
    </row>
    <row r="511" spans="1:4" x14ac:dyDescent="0.3">
      <c r="A511" s="37"/>
      <c r="B511" s="34"/>
      <c r="C511" s="32"/>
      <c r="D511" s="25"/>
    </row>
    <row r="512" spans="1:4" x14ac:dyDescent="0.3">
      <c r="A512" s="38" t="s">
        <v>298</v>
      </c>
      <c r="B512" s="35" t="s">
        <v>297</v>
      </c>
      <c r="C512" s="290" t="str">
        <f>'ROL INDIVIDUAL'!B488</f>
        <v>ALARCON NARANJO PEDRO DANIEL</v>
      </c>
      <c r="D512" s="291"/>
    </row>
    <row r="513" spans="1:4" ht="15" thickBot="1" x14ac:dyDescent="0.35">
      <c r="A513" s="36" t="s">
        <v>246</v>
      </c>
      <c r="B513" s="33" t="s">
        <v>299</v>
      </c>
      <c r="C513" s="353" t="str">
        <f>B489</f>
        <v>0201172517</v>
      </c>
      <c r="D513" s="354"/>
    </row>
    <row r="514" spans="1:4" x14ac:dyDescent="0.3">
      <c r="A514" s="214"/>
      <c r="B514" s="58"/>
      <c r="C514" s="59"/>
      <c r="D514" s="215"/>
    </row>
    <row r="515" spans="1:4" ht="15" thickBot="1" x14ac:dyDescent="0.35">
      <c r="A515" s="214"/>
      <c r="B515" s="58"/>
      <c r="C515" s="59"/>
      <c r="D515" s="215"/>
    </row>
    <row r="516" spans="1:4" x14ac:dyDescent="0.3">
      <c r="A516" s="294"/>
      <c r="B516" s="295"/>
      <c r="C516" s="295"/>
      <c r="D516" s="296"/>
    </row>
    <row r="517" spans="1:4" x14ac:dyDescent="0.3">
      <c r="A517" s="307"/>
      <c r="B517" s="308"/>
      <c r="C517" s="308"/>
      <c r="D517" s="309"/>
    </row>
    <row r="518" spans="1:4" ht="15" thickBot="1" x14ac:dyDescent="0.35">
      <c r="A518" s="307"/>
      <c r="B518" s="308"/>
      <c r="C518" s="308"/>
      <c r="D518" s="309"/>
    </row>
    <row r="519" spans="1:4" ht="25.8" thickBot="1" x14ac:dyDescent="0.35">
      <c r="A519" s="350" t="s">
        <v>0</v>
      </c>
      <c r="B519" s="351"/>
      <c r="C519" s="351"/>
      <c r="D519" s="352"/>
    </row>
    <row r="520" spans="1:4" x14ac:dyDescent="0.3">
      <c r="A520" s="11" t="s">
        <v>1</v>
      </c>
      <c r="B520" s="3" t="str">
        <f>'ROL SEP'!D62</f>
        <v>TAPUYLICUY LUZ MARIA</v>
      </c>
      <c r="C520" s="3"/>
      <c r="D520" s="12"/>
    </row>
    <row r="521" spans="1:4" x14ac:dyDescent="0.3">
      <c r="A521" s="11" t="s">
        <v>2</v>
      </c>
      <c r="B521" s="10" t="str">
        <f>'ROL SEP'!C62</f>
        <v>1500798028</v>
      </c>
      <c r="C521" s="4"/>
      <c r="D521" s="13"/>
    </row>
    <row r="522" spans="1:4" x14ac:dyDescent="0.3">
      <c r="A522" s="11" t="s">
        <v>3</v>
      </c>
      <c r="B522" s="3" t="str">
        <f>'ROL SEP'!E62</f>
        <v>PROMOTOR AGRICOLA</v>
      </c>
      <c r="C522" s="4"/>
      <c r="D522" s="14"/>
    </row>
    <row r="523" spans="1:4" x14ac:dyDescent="0.3">
      <c r="A523" s="11" t="s">
        <v>26</v>
      </c>
      <c r="B523" s="3" t="str">
        <f>'ROL SEP'!A62</f>
        <v>SEPTIEMBRE</v>
      </c>
      <c r="C523" s="4"/>
      <c r="D523" s="15"/>
    </row>
    <row r="524" spans="1:4" x14ac:dyDescent="0.3">
      <c r="A524" s="11" t="s">
        <v>99</v>
      </c>
      <c r="B524" s="55">
        <f>'ROL SEP'!B62</f>
        <v>2023</v>
      </c>
      <c r="C524" s="4"/>
      <c r="D524" s="15"/>
    </row>
    <row r="525" spans="1:4" x14ac:dyDescent="0.3">
      <c r="A525" s="203" t="s">
        <v>94</v>
      </c>
      <c r="B525" s="204"/>
      <c r="C525" s="205" t="s">
        <v>5</v>
      </c>
      <c r="D525" s="206" t="s">
        <v>6</v>
      </c>
    </row>
    <row r="526" spans="1:4" x14ac:dyDescent="0.3">
      <c r="A526" s="18"/>
      <c r="B526" s="6"/>
      <c r="C526" s="7"/>
      <c r="D526" s="19"/>
    </row>
    <row r="527" spans="1:4" x14ac:dyDescent="0.3">
      <c r="A527" s="26" t="s">
        <v>16</v>
      </c>
      <c r="B527" s="27"/>
      <c r="C527" s="28">
        <f>'ROL SEP'!F62</f>
        <v>500</v>
      </c>
      <c r="D527" s="29"/>
    </row>
    <row r="528" spans="1:4" x14ac:dyDescent="0.3">
      <c r="A528" s="26" t="s">
        <v>105</v>
      </c>
      <c r="B528" s="27"/>
      <c r="C528" s="28"/>
      <c r="D528" s="29"/>
    </row>
    <row r="529" spans="1:4" x14ac:dyDescent="0.3">
      <c r="A529" s="26" t="s">
        <v>8</v>
      </c>
      <c r="B529" s="27"/>
      <c r="C529" s="28"/>
      <c r="D529" s="29"/>
    </row>
    <row r="530" spans="1:4" x14ac:dyDescent="0.3">
      <c r="A530" s="26" t="s">
        <v>9</v>
      </c>
      <c r="B530" s="27"/>
      <c r="C530" s="28"/>
      <c r="D530" s="29"/>
    </row>
    <row r="531" spans="1:4" ht="24" x14ac:dyDescent="0.3">
      <c r="A531" s="26"/>
      <c r="B531" s="27" t="s">
        <v>10</v>
      </c>
      <c r="C531" s="28"/>
      <c r="D531" s="29">
        <f>'ROL SEP'!L62</f>
        <v>57.249999999999993</v>
      </c>
    </row>
    <row r="532" spans="1:4" ht="24" x14ac:dyDescent="0.3">
      <c r="A532" s="26"/>
      <c r="B532" s="27" t="s">
        <v>11</v>
      </c>
      <c r="C532" s="28"/>
      <c r="D532" s="29">
        <f>'ROL SEP'!O62</f>
        <v>0</v>
      </c>
    </row>
    <row r="533" spans="1:4" x14ac:dyDescent="0.3">
      <c r="A533" s="26"/>
      <c r="B533" s="27" t="s">
        <v>55</v>
      </c>
      <c r="C533" s="28"/>
      <c r="D533" s="29">
        <f>'ROL SEP'!S62</f>
        <v>0</v>
      </c>
    </row>
    <row r="534" spans="1:4" ht="24" x14ac:dyDescent="0.3">
      <c r="A534" s="26"/>
      <c r="B534" s="27" t="s">
        <v>18</v>
      </c>
      <c r="C534" s="28"/>
      <c r="D534" s="29">
        <f>'ROL SEP'!P62</f>
        <v>0</v>
      </c>
    </row>
    <row r="535" spans="1:4" x14ac:dyDescent="0.3">
      <c r="A535" s="207"/>
      <c r="B535" s="208" t="s">
        <v>12</v>
      </c>
      <c r="C535" s="209">
        <f>SUM(C527:C534)</f>
        <v>500</v>
      </c>
      <c r="D535" s="210">
        <f>SUM(D527:D534)</f>
        <v>57.249999999999993</v>
      </c>
    </row>
    <row r="536" spans="1:4" ht="28.2" x14ac:dyDescent="0.3">
      <c r="A536" s="21"/>
      <c r="B536" s="45"/>
      <c r="C536" s="211" t="s">
        <v>13</v>
      </c>
      <c r="D536" s="212">
        <f>+C535-D535</f>
        <v>442.75</v>
      </c>
    </row>
    <row r="537" spans="1:4" ht="15" thickBot="1" x14ac:dyDescent="0.35">
      <c r="A537" s="23"/>
      <c r="B537" s="4" t="s">
        <v>14</v>
      </c>
      <c r="C537" s="2"/>
      <c r="D537" s="24"/>
    </row>
    <row r="538" spans="1:4" x14ac:dyDescent="0.3">
      <c r="A538" s="213" t="s">
        <v>28</v>
      </c>
      <c r="B538" s="213" t="s">
        <v>93</v>
      </c>
      <c r="C538" s="348" t="s">
        <v>30</v>
      </c>
      <c r="D538" s="349"/>
    </row>
    <row r="539" spans="1:4" x14ac:dyDescent="0.3">
      <c r="A539" s="37"/>
      <c r="B539" s="34"/>
      <c r="C539" s="32"/>
      <c r="D539" s="25"/>
    </row>
    <row r="540" spans="1:4" x14ac:dyDescent="0.3">
      <c r="A540" s="37"/>
      <c r="B540" s="34"/>
      <c r="C540" s="32"/>
      <c r="D540" s="25"/>
    </row>
    <row r="541" spans="1:4" x14ac:dyDescent="0.3">
      <c r="A541" s="37"/>
      <c r="B541" s="34"/>
      <c r="C541" s="32"/>
      <c r="D541" s="25"/>
    </row>
    <row r="542" spans="1:4" x14ac:dyDescent="0.3">
      <c r="A542" s="37"/>
      <c r="B542" s="34"/>
      <c r="C542" s="32"/>
      <c r="D542" s="25"/>
    </row>
    <row r="543" spans="1:4" x14ac:dyDescent="0.3">
      <c r="A543" s="37"/>
      <c r="B543" s="34"/>
      <c r="C543" s="32"/>
      <c r="D543" s="25"/>
    </row>
    <row r="544" spans="1:4" x14ac:dyDescent="0.3">
      <c r="A544" s="38" t="s">
        <v>298</v>
      </c>
      <c r="B544" s="35" t="s">
        <v>297</v>
      </c>
      <c r="C544" s="290" t="str">
        <f>B520</f>
        <v>TAPUYLICUY LUZ MARIA</v>
      </c>
      <c r="D544" s="291"/>
    </row>
    <row r="545" spans="1:4" ht="15" thickBot="1" x14ac:dyDescent="0.35">
      <c r="A545" s="36" t="s">
        <v>246</v>
      </c>
      <c r="B545" s="33" t="s">
        <v>299</v>
      </c>
      <c r="C545" s="353" t="str">
        <f>B521</f>
        <v>1500798028</v>
      </c>
      <c r="D545" s="354"/>
    </row>
    <row r="553" spans="1:4" ht="15" thickBot="1" x14ac:dyDescent="0.35"/>
    <row r="554" spans="1:4" x14ac:dyDescent="0.3">
      <c r="A554" s="294"/>
      <c r="B554" s="295"/>
      <c r="C554" s="295"/>
      <c r="D554" s="296"/>
    </row>
    <row r="555" spans="1:4" x14ac:dyDescent="0.3">
      <c r="A555" s="307"/>
      <c r="B555" s="308"/>
      <c r="C555" s="308"/>
      <c r="D555" s="309"/>
    </row>
    <row r="556" spans="1:4" ht="15" thickBot="1" x14ac:dyDescent="0.35">
      <c r="A556" s="307"/>
      <c r="B556" s="308"/>
      <c r="C556" s="308"/>
      <c r="D556" s="309"/>
    </row>
    <row r="557" spans="1:4" ht="25.8" thickBot="1" x14ac:dyDescent="0.35">
      <c r="A557" s="350" t="s">
        <v>0</v>
      </c>
      <c r="B557" s="351"/>
      <c r="C557" s="351"/>
      <c r="D557" s="352"/>
    </row>
    <row r="558" spans="1:4" x14ac:dyDescent="0.3">
      <c r="A558" s="11" t="s">
        <v>1</v>
      </c>
      <c r="B558" s="3" t="str">
        <f>'ROL SEP'!D36</f>
        <v>GREFA CUJI EDGAR OMAR</v>
      </c>
      <c r="C558" s="3"/>
      <c r="D558" s="12"/>
    </row>
    <row r="559" spans="1:4" x14ac:dyDescent="0.3">
      <c r="A559" s="11" t="s">
        <v>2</v>
      </c>
      <c r="B559" s="10" t="str">
        <f>'ROL SEP'!C36</f>
        <v>2200534663</v>
      </c>
      <c r="C559" s="4"/>
      <c r="D559" s="13"/>
    </row>
    <row r="560" spans="1:4" x14ac:dyDescent="0.3">
      <c r="A560" s="11" t="s">
        <v>3</v>
      </c>
      <c r="B560" s="3" t="str">
        <f>'ROL SEP'!E36</f>
        <v>OPERADOR DE RODILLO</v>
      </c>
      <c r="C560" s="4"/>
      <c r="D560" s="14"/>
    </row>
    <row r="561" spans="1:4" x14ac:dyDescent="0.3">
      <c r="A561" s="11" t="s">
        <v>26</v>
      </c>
      <c r="B561" s="3" t="str">
        <f>'ROL SEP'!A36</f>
        <v>SEPTIEMBRE</v>
      </c>
      <c r="C561" s="4"/>
      <c r="D561" s="15"/>
    </row>
    <row r="562" spans="1:4" x14ac:dyDescent="0.3">
      <c r="A562" s="11" t="s">
        <v>99</v>
      </c>
      <c r="B562" s="55">
        <f>'ROL SEP'!B36</f>
        <v>2023</v>
      </c>
      <c r="C562" s="4"/>
      <c r="D562" s="15"/>
    </row>
    <row r="563" spans="1:4" x14ac:dyDescent="0.3">
      <c r="A563" s="203" t="s">
        <v>94</v>
      </c>
      <c r="B563" s="204"/>
      <c r="C563" s="205" t="s">
        <v>5</v>
      </c>
      <c r="D563" s="206" t="s">
        <v>6</v>
      </c>
    </row>
    <row r="564" spans="1:4" x14ac:dyDescent="0.3">
      <c r="A564" s="18"/>
      <c r="B564" s="6"/>
      <c r="C564" s="7"/>
      <c r="D564" s="19"/>
    </row>
    <row r="565" spans="1:4" x14ac:dyDescent="0.3">
      <c r="A565" s="26" t="s">
        <v>16</v>
      </c>
      <c r="B565" s="27"/>
      <c r="C565" s="28">
        <f>'ROL SEP'!F36</f>
        <v>708</v>
      </c>
      <c r="D565" s="29"/>
    </row>
    <row r="566" spans="1:4" x14ac:dyDescent="0.3">
      <c r="A566" s="26" t="s">
        <v>105</v>
      </c>
      <c r="B566" s="27"/>
      <c r="C566" s="28"/>
      <c r="D566" s="29"/>
    </row>
    <row r="567" spans="1:4" x14ac:dyDescent="0.3">
      <c r="A567" s="26" t="s">
        <v>8</v>
      </c>
      <c r="B567" s="27"/>
      <c r="C567" s="28"/>
      <c r="D567" s="29"/>
    </row>
    <row r="568" spans="1:4" x14ac:dyDescent="0.3">
      <c r="A568" s="26" t="s">
        <v>9</v>
      </c>
      <c r="B568" s="27"/>
      <c r="C568" s="28"/>
      <c r="D568" s="29"/>
    </row>
    <row r="569" spans="1:4" ht="24" x14ac:dyDescent="0.3">
      <c r="A569" s="26"/>
      <c r="B569" s="27" t="s">
        <v>10</v>
      </c>
      <c r="C569" s="28"/>
      <c r="D569" s="29">
        <f>'ROL SEP'!L36</f>
        <v>66.905999999999992</v>
      </c>
    </row>
    <row r="570" spans="1:4" ht="24" x14ac:dyDescent="0.3">
      <c r="A570" s="26"/>
      <c r="B570" s="27" t="s">
        <v>11</v>
      </c>
      <c r="C570" s="28"/>
      <c r="D570" s="29">
        <f>'ROL SEP'!O36</f>
        <v>0</v>
      </c>
    </row>
    <row r="571" spans="1:4" x14ac:dyDescent="0.3">
      <c r="A571" s="26"/>
      <c r="B571" s="27" t="s">
        <v>55</v>
      </c>
      <c r="C571" s="28"/>
      <c r="D571" s="29">
        <f>'ROL SEP'!S36</f>
        <v>0</v>
      </c>
    </row>
    <row r="572" spans="1:4" ht="24" x14ac:dyDescent="0.3">
      <c r="A572" s="26"/>
      <c r="B572" s="27" t="s">
        <v>18</v>
      </c>
      <c r="C572" s="28"/>
      <c r="D572" s="29">
        <f>'ROL SEP'!P36</f>
        <v>0</v>
      </c>
    </row>
    <row r="573" spans="1:4" x14ac:dyDescent="0.3">
      <c r="A573" s="207"/>
      <c r="B573" s="208" t="s">
        <v>12</v>
      </c>
      <c r="C573" s="209">
        <f>SUM(C565:C572)</f>
        <v>708</v>
      </c>
      <c r="D573" s="210">
        <f>SUM(D565:D572)</f>
        <v>66.905999999999992</v>
      </c>
    </row>
    <row r="574" spans="1:4" ht="28.2" x14ac:dyDescent="0.3">
      <c r="A574" s="21"/>
      <c r="B574" s="45"/>
      <c r="C574" s="211" t="s">
        <v>13</v>
      </c>
      <c r="D574" s="212">
        <f>+C573-D573</f>
        <v>641.09400000000005</v>
      </c>
    </row>
    <row r="575" spans="1:4" ht="15" thickBot="1" x14ac:dyDescent="0.35">
      <c r="A575" s="23"/>
      <c r="B575" s="4" t="s">
        <v>14</v>
      </c>
      <c r="C575" s="2"/>
      <c r="D575" s="24"/>
    </row>
    <row r="576" spans="1:4" x14ac:dyDescent="0.3">
      <c r="A576" s="213" t="s">
        <v>28</v>
      </c>
      <c r="B576" s="213" t="s">
        <v>93</v>
      </c>
      <c r="C576" s="348" t="s">
        <v>30</v>
      </c>
      <c r="D576" s="349"/>
    </row>
    <row r="577" spans="1:4" x14ac:dyDescent="0.3">
      <c r="A577" s="37"/>
      <c r="B577" s="34"/>
      <c r="C577" s="32"/>
      <c r="D577" s="25"/>
    </row>
    <row r="578" spans="1:4" x14ac:dyDescent="0.3">
      <c r="A578" s="37"/>
      <c r="B578" s="34"/>
      <c r="C578" s="32"/>
      <c r="D578" s="25"/>
    </row>
    <row r="579" spans="1:4" x14ac:dyDescent="0.3">
      <c r="A579" s="37"/>
      <c r="B579" s="34"/>
      <c r="C579" s="32"/>
      <c r="D579" s="25"/>
    </row>
    <row r="580" spans="1:4" x14ac:dyDescent="0.3">
      <c r="A580" s="37"/>
      <c r="B580" s="34"/>
      <c r="C580" s="32"/>
      <c r="D580" s="25"/>
    </row>
    <row r="581" spans="1:4" x14ac:dyDescent="0.3">
      <c r="A581" s="37"/>
      <c r="B581" s="34"/>
      <c r="C581" s="32"/>
      <c r="D581" s="25"/>
    </row>
    <row r="582" spans="1:4" x14ac:dyDescent="0.3">
      <c r="A582" s="38" t="s">
        <v>298</v>
      </c>
      <c r="B582" s="35" t="s">
        <v>297</v>
      </c>
      <c r="C582" s="290" t="str">
        <f>B558</f>
        <v>GREFA CUJI EDGAR OMAR</v>
      </c>
      <c r="D582" s="291"/>
    </row>
    <row r="583" spans="1:4" ht="15" thickBot="1" x14ac:dyDescent="0.35">
      <c r="A583" s="36" t="s">
        <v>246</v>
      </c>
      <c r="B583" s="33" t="s">
        <v>299</v>
      </c>
      <c r="C583" s="353" t="str">
        <f>B559</f>
        <v>2200534663</v>
      </c>
      <c r="D583" s="354"/>
    </row>
    <row r="584" spans="1:4" x14ac:dyDescent="0.3">
      <c r="A584" s="214"/>
      <c r="B584" s="58"/>
      <c r="C584" s="59"/>
      <c r="D584" s="215"/>
    </row>
    <row r="585" spans="1:4" ht="15" thickBot="1" x14ac:dyDescent="0.35">
      <c r="A585" s="214"/>
      <c r="B585" s="58"/>
      <c r="C585" s="59"/>
      <c r="D585" s="215"/>
    </row>
    <row r="586" spans="1:4" x14ac:dyDescent="0.3">
      <c r="A586" s="294"/>
      <c r="B586" s="295"/>
      <c r="C586" s="295"/>
      <c r="D586" s="296"/>
    </row>
    <row r="587" spans="1:4" x14ac:dyDescent="0.3">
      <c r="A587" s="307"/>
      <c r="B587" s="308"/>
      <c r="C587" s="308"/>
      <c r="D587" s="309"/>
    </row>
    <row r="588" spans="1:4" ht="15" thickBot="1" x14ac:dyDescent="0.35">
      <c r="A588" s="307"/>
      <c r="B588" s="308"/>
      <c r="C588" s="308"/>
      <c r="D588" s="309"/>
    </row>
    <row r="589" spans="1:4" ht="25.8" thickBot="1" x14ac:dyDescent="0.35">
      <c r="A589" s="350" t="s">
        <v>0</v>
      </c>
      <c r="B589" s="351"/>
      <c r="C589" s="351"/>
      <c r="D589" s="352"/>
    </row>
    <row r="590" spans="1:4" x14ac:dyDescent="0.3">
      <c r="A590" s="11" t="s">
        <v>1</v>
      </c>
      <c r="B590" s="3" t="str">
        <f>'ROL SEP'!D37</f>
        <v>VAICILLA SANCHEZ VICTOR ERICK</v>
      </c>
      <c r="C590" s="3"/>
      <c r="D590" s="12"/>
    </row>
    <row r="591" spans="1:4" x14ac:dyDescent="0.3">
      <c r="A591" s="11" t="s">
        <v>2</v>
      </c>
      <c r="B591" s="218">
        <f>'ROL SEP'!C37</f>
        <v>2100854088</v>
      </c>
      <c r="C591" s="4"/>
      <c r="D591" s="13"/>
    </row>
    <row r="592" spans="1:4" x14ac:dyDescent="0.3">
      <c r="A592" s="11" t="s">
        <v>3</v>
      </c>
      <c r="B592" s="3" t="str">
        <f>'ROL SEP'!E37</f>
        <v>CONDUCTOR</v>
      </c>
      <c r="C592" s="4"/>
      <c r="D592" s="14"/>
    </row>
    <row r="593" spans="1:4" x14ac:dyDescent="0.3">
      <c r="A593" s="11" t="s">
        <v>26</v>
      </c>
      <c r="B593" s="3" t="str">
        <f>'ROL SEP'!A37</f>
        <v>SEPTIEMBRE</v>
      </c>
      <c r="C593" s="4"/>
      <c r="D593" s="15"/>
    </row>
    <row r="594" spans="1:4" x14ac:dyDescent="0.3">
      <c r="A594" s="11" t="s">
        <v>99</v>
      </c>
      <c r="B594" s="55">
        <f>'ROL SEP'!B37</f>
        <v>2023</v>
      </c>
      <c r="C594" s="4"/>
      <c r="D594" s="15"/>
    </row>
    <row r="595" spans="1:4" x14ac:dyDescent="0.3">
      <c r="A595" s="203" t="s">
        <v>94</v>
      </c>
      <c r="B595" s="204"/>
      <c r="C595" s="205" t="s">
        <v>5</v>
      </c>
      <c r="D595" s="206" t="s">
        <v>6</v>
      </c>
    </row>
    <row r="596" spans="1:4" x14ac:dyDescent="0.3">
      <c r="A596" s="18"/>
      <c r="B596" s="6"/>
      <c r="C596" s="7"/>
      <c r="D596" s="19"/>
    </row>
    <row r="597" spans="1:4" x14ac:dyDescent="0.3">
      <c r="A597" s="26" t="s">
        <v>16</v>
      </c>
      <c r="B597" s="27"/>
      <c r="C597" s="28">
        <f>'ROL SEP'!F37</f>
        <v>566</v>
      </c>
      <c r="D597" s="29"/>
    </row>
    <row r="598" spans="1:4" x14ac:dyDescent="0.3">
      <c r="A598" s="26" t="s">
        <v>105</v>
      </c>
      <c r="B598" s="27"/>
      <c r="C598" s="28"/>
      <c r="D598" s="29"/>
    </row>
    <row r="599" spans="1:4" x14ac:dyDescent="0.3">
      <c r="A599" s="26" t="s">
        <v>8</v>
      </c>
      <c r="B599" s="27"/>
      <c r="C599" s="28"/>
      <c r="D599" s="29"/>
    </row>
    <row r="600" spans="1:4" x14ac:dyDescent="0.3">
      <c r="A600" s="26" t="s">
        <v>9</v>
      </c>
      <c r="B600" s="27"/>
      <c r="C600" s="28"/>
      <c r="D600" s="29"/>
    </row>
    <row r="601" spans="1:4" ht="24" x14ac:dyDescent="0.3">
      <c r="A601" s="26"/>
      <c r="B601" s="27" t="s">
        <v>10</v>
      </c>
      <c r="C601" s="28"/>
      <c r="D601" s="29">
        <f>'ROL SEP'!L37</f>
        <v>48.138299999999994</v>
      </c>
    </row>
    <row r="602" spans="1:4" ht="24" x14ac:dyDescent="0.3">
      <c r="A602" s="26"/>
      <c r="B602" s="27" t="s">
        <v>11</v>
      </c>
      <c r="C602" s="28"/>
      <c r="D602" s="29">
        <f>'ROL SEP'!O37</f>
        <v>0</v>
      </c>
    </row>
    <row r="603" spans="1:4" x14ac:dyDescent="0.3">
      <c r="A603" s="26"/>
      <c r="B603" s="27" t="s">
        <v>55</v>
      </c>
      <c r="C603" s="28"/>
      <c r="D603" s="29">
        <f>'ROL SEP'!S37</f>
        <v>0</v>
      </c>
    </row>
    <row r="604" spans="1:4" ht="24" x14ac:dyDescent="0.3">
      <c r="A604" s="26"/>
      <c r="B604" s="27" t="s">
        <v>18</v>
      </c>
      <c r="C604" s="28"/>
      <c r="D604" s="29">
        <f>'ROL SEP'!P37</f>
        <v>130</v>
      </c>
    </row>
    <row r="605" spans="1:4" x14ac:dyDescent="0.3">
      <c r="A605" s="207"/>
      <c r="B605" s="208" t="s">
        <v>12</v>
      </c>
      <c r="C605" s="209">
        <f>SUM(C597:C604)</f>
        <v>566</v>
      </c>
      <c r="D605" s="210">
        <f>SUM(D597:D604)</f>
        <v>178.13829999999999</v>
      </c>
    </row>
    <row r="606" spans="1:4" ht="28.2" x14ac:dyDescent="0.3">
      <c r="A606" s="21"/>
      <c r="B606" s="45"/>
      <c r="C606" s="211" t="s">
        <v>13</v>
      </c>
      <c r="D606" s="212">
        <f>+C605-D605</f>
        <v>387.86170000000004</v>
      </c>
    </row>
    <row r="607" spans="1:4" ht="15" thickBot="1" x14ac:dyDescent="0.35">
      <c r="A607" s="23"/>
      <c r="B607" s="4" t="s">
        <v>14</v>
      </c>
      <c r="C607" s="2"/>
      <c r="D607" s="24"/>
    </row>
    <row r="608" spans="1:4" x14ac:dyDescent="0.3">
      <c r="A608" s="213" t="s">
        <v>28</v>
      </c>
      <c r="B608" s="213" t="s">
        <v>93</v>
      </c>
      <c r="C608" s="348" t="s">
        <v>30</v>
      </c>
      <c r="D608" s="349"/>
    </row>
    <row r="609" spans="1:4" x14ac:dyDescent="0.3">
      <c r="A609" s="37"/>
      <c r="B609" s="34"/>
      <c r="C609" s="32"/>
      <c r="D609" s="25"/>
    </row>
    <row r="610" spans="1:4" x14ac:dyDescent="0.3">
      <c r="A610" s="37"/>
      <c r="B610" s="34"/>
      <c r="C610" s="32"/>
      <c r="D610" s="25"/>
    </row>
    <row r="611" spans="1:4" x14ac:dyDescent="0.3">
      <c r="A611" s="37"/>
      <c r="B611" s="34"/>
      <c r="C611" s="32"/>
      <c r="D611" s="25"/>
    </row>
    <row r="612" spans="1:4" x14ac:dyDescent="0.3">
      <c r="A612" s="37"/>
      <c r="B612" s="34"/>
      <c r="C612" s="32"/>
      <c r="D612" s="25"/>
    </row>
    <row r="613" spans="1:4" x14ac:dyDescent="0.3">
      <c r="A613" s="37"/>
      <c r="B613" s="34"/>
      <c r="C613" s="32"/>
      <c r="D613" s="25"/>
    </row>
    <row r="614" spans="1:4" x14ac:dyDescent="0.3">
      <c r="A614" s="38" t="s">
        <v>298</v>
      </c>
      <c r="B614" s="35" t="s">
        <v>297</v>
      </c>
      <c r="C614" s="290" t="str">
        <f>B590</f>
        <v>VAICILLA SANCHEZ VICTOR ERICK</v>
      </c>
      <c r="D614" s="291"/>
    </row>
    <row r="615" spans="1:4" ht="15" thickBot="1" x14ac:dyDescent="0.35">
      <c r="A615" s="36" t="s">
        <v>246</v>
      </c>
      <c r="B615" s="33" t="s">
        <v>299</v>
      </c>
      <c r="C615" s="353">
        <f>B591</f>
        <v>2100854088</v>
      </c>
      <c r="D615" s="354"/>
    </row>
  </sheetData>
  <mergeCells count="90">
    <mergeCell ref="A33:D35"/>
    <mergeCell ref="A1:D3"/>
    <mergeCell ref="A4:D4"/>
    <mergeCell ref="C23:D23"/>
    <mergeCell ref="C29:D29"/>
    <mergeCell ref="C30:D30"/>
    <mergeCell ref="C123:D123"/>
    <mergeCell ref="A36:D36"/>
    <mergeCell ref="C55:D55"/>
    <mergeCell ref="C61:D61"/>
    <mergeCell ref="C62:D62"/>
    <mergeCell ref="A69:D71"/>
    <mergeCell ref="A72:D72"/>
    <mergeCell ref="C91:D91"/>
    <mergeCell ref="C97:D97"/>
    <mergeCell ref="C98:D98"/>
    <mergeCell ref="A101:D103"/>
    <mergeCell ref="A104:D104"/>
    <mergeCell ref="C195:D195"/>
    <mergeCell ref="C129:D129"/>
    <mergeCell ref="C130:D130"/>
    <mergeCell ref="A134:D136"/>
    <mergeCell ref="A137:D137"/>
    <mergeCell ref="C156:D156"/>
    <mergeCell ref="C162:D162"/>
    <mergeCell ref="C163:D163"/>
    <mergeCell ref="A166:D168"/>
    <mergeCell ref="A169:D169"/>
    <mergeCell ref="C188:D188"/>
    <mergeCell ref="C194:D194"/>
    <mergeCell ref="A277:D277"/>
    <mergeCell ref="A204:D206"/>
    <mergeCell ref="A207:D207"/>
    <mergeCell ref="C226:D226"/>
    <mergeCell ref="C232:D232"/>
    <mergeCell ref="C233:D233"/>
    <mergeCell ref="A236:D238"/>
    <mergeCell ref="A239:D239"/>
    <mergeCell ref="C258:D258"/>
    <mergeCell ref="C264:D264"/>
    <mergeCell ref="C265:D265"/>
    <mergeCell ref="A274:D276"/>
    <mergeCell ref="C372:D372"/>
    <mergeCell ref="C296:D296"/>
    <mergeCell ref="C302:D302"/>
    <mergeCell ref="C303:D303"/>
    <mergeCell ref="A306:D308"/>
    <mergeCell ref="A309:D309"/>
    <mergeCell ref="C328:D328"/>
    <mergeCell ref="C334:D334"/>
    <mergeCell ref="C335:D335"/>
    <mergeCell ref="A344:D346"/>
    <mergeCell ref="A347:D347"/>
    <mergeCell ref="C366:D366"/>
    <mergeCell ref="A446:D448"/>
    <mergeCell ref="C373:D373"/>
    <mergeCell ref="A376:D378"/>
    <mergeCell ref="A379:D379"/>
    <mergeCell ref="C398:D398"/>
    <mergeCell ref="C404:D404"/>
    <mergeCell ref="C405:D405"/>
    <mergeCell ref="A414:D416"/>
    <mergeCell ref="A417:D417"/>
    <mergeCell ref="C436:D436"/>
    <mergeCell ref="C442:D442"/>
    <mergeCell ref="C443:D443"/>
    <mergeCell ref="C538:D538"/>
    <mergeCell ref="A449:D449"/>
    <mergeCell ref="C468:D468"/>
    <mergeCell ref="C474:D474"/>
    <mergeCell ref="C475:D475"/>
    <mergeCell ref="A484:D486"/>
    <mergeCell ref="A487:D487"/>
    <mergeCell ref="C506:D506"/>
    <mergeCell ref="C512:D512"/>
    <mergeCell ref="C513:D513"/>
    <mergeCell ref="A516:D518"/>
    <mergeCell ref="A519:D519"/>
    <mergeCell ref="C615:D615"/>
    <mergeCell ref="C544:D544"/>
    <mergeCell ref="C545:D545"/>
    <mergeCell ref="A554:D556"/>
    <mergeCell ref="A557:D557"/>
    <mergeCell ref="C576:D576"/>
    <mergeCell ref="C582:D582"/>
    <mergeCell ref="C583:D583"/>
    <mergeCell ref="A586:D588"/>
    <mergeCell ref="A589:D589"/>
    <mergeCell ref="C608:D608"/>
    <mergeCell ref="C614:D614"/>
  </mergeCells>
  <pageMargins left="0.7" right="0.7" top="0.75" bottom="0.75" header="0.3" footer="0.3"/>
  <pageSetup paperSize="9" scale="85" orientation="portrait" horizontalDpi="0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opLeftCell="A2" workbookViewId="0">
      <selection activeCell="J8" sqref="J8"/>
    </sheetView>
  </sheetViews>
  <sheetFormatPr baseColWidth="10" defaultRowHeight="14.4" x14ac:dyDescent="0.3"/>
  <cols>
    <col min="3" max="3" width="24.109375" bestFit="1" customWidth="1"/>
    <col min="4" max="4" width="18.77734375" customWidth="1"/>
    <col min="13" max="13" width="29.44140625" customWidth="1"/>
  </cols>
  <sheetData>
    <row r="1" spans="1:16" ht="25.2" x14ac:dyDescent="0.3">
      <c r="A1" s="345" t="s">
        <v>264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279"/>
      <c r="O1" s="123"/>
      <c r="P1" s="126"/>
    </row>
    <row r="2" spans="1:16" ht="25.2" x14ac:dyDescent="0.3">
      <c r="A2" s="346" t="s">
        <v>321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279"/>
      <c r="O2" s="123"/>
      <c r="P2" s="126"/>
    </row>
    <row r="3" spans="1:16" ht="25.8" thickBot="1" x14ac:dyDescent="0.35">
      <c r="A3" s="347" t="s">
        <v>266</v>
      </c>
      <c r="B3" s="347"/>
      <c r="C3" s="347"/>
      <c r="D3" s="282" t="s">
        <v>267</v>
      </c>
      <c r="E3" s="282" t="s">
        <v>268</v>
      </c>
      <c r="F3" s="176"/>
      <c r="G3" s="176"/>
      <c r="H3" s="176"/>
      <c r="I3" s="176"/>
      <c r="J3" s="176"/>
      <c r="K3" s="176"/>
      <c r="L3" s="176"/>
      <c r="M3" s="176"/>
      <c r="N3" s="279"/>
      <c r="O3" s="123"/>
      <c r="P3" s="126"/>
    </row>
    <row r="4" spans="1:16" ht="18.600000000000001" thickBot="1" x14ac:dyDescent="0.4">
      <c r="A4" s="338" t="s">
        <v>331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270"/>
      <c r="O4" s="123"/>
      <c r="P4" s="126"/>
    </row>
    <row r="5" spans="1:16" ht="57.6" x14ac:dyDescent="0.3">
      <c r="A5" s="117" t="s">
        <v>284</v>
      </c>
      <c r="B5" s="117" t="s">
        <v>145</v>
      </c>
      <c r="C5" s="117" t="s">
        <v>146</v>
      </c>
      <c r="D5" s="117" t="s">
        <v>147</v>
      </c>
      <c r="E5" s="117" t="s">
        <v>272</v>
      </c>
      <c r="F5" s="117" t="s">
        <v>177</v>
      </c>
      <c r="G5" s="117" t="s">
        <v>275</v>
      </c>
      <c r="H5" s="117" t="s">
        <v>322</v>
      </c>
      <c r="I5" s="117" t="s">
        <v>323</v>
      </c>
      <c r="J5" s="117" t="s">
        <v>324</v>
      </c>
      <c r="K5" s="117" t="s">
        <v>278</v>
      </c>
      <c r="L5" s="117" t="s">
        <v>13</v>
      </c>
      <c r="M5" s="118" t="s">
        <v>161</v>
      </c>
      <c r="N5" s="129" t="s">
        <v>220</v>
      </c>
      <c r="O5" s="130" t="s">
        <v>229</v>
      </c>
      <c r="P5" s="271" t="s">
        <v>219</v>
      </c>
    </row>
    <row r="6" spans="1:16" ht="28.8" x14ac:dyDescent="0.3">
      <c r="A6" s="63">
        <v>1</v>
      </c>
      <c r="B6" s="95" t="s">
        <v>198</v>
      </c>
      <c r="C6" s="66" t="s">
        <v>164</v>
      </c>
      <c r="D6" s="65" t="s">
        <v>169</v>
      </c>
      <c r="E6" s="63">
        <v>533</v>
      </c>
      <c r="F6" s="63">
        <v>30</v>
      </c>
      <c r="G6" s="102">
        <v>12</v>
      </c>
      <c r="H6" s="102">
        <f>E6*G6</f>
        <v>6396</v>
      </c>
      <c r="I6" s="102">
        <v>12</v>
      </c>
      <c r="J6" s="102">
        <f t="shared" ref="J6" si="0">H6/I6</f>
        <v>533</v>
      </c>
      <c r="K6" s="102"/>
      <c r="L6" s="140">
        <f t="shared" ref="L6" si="1">J6-K6</f>
        <v>533</v>
      </c>
      <c r="M6" s="63"/>
      <c r="N6" s="123" t="s">
        <v>211</v>
      </c>
      <c r="O6" s="126" t="s">
        <v>205</v>
      </c>
      <c r="P6">
        <v>1410036</v>
      </c>
    </row>
    <row r="7" spans="1:16" ht="27.6" x14ac:dyDescent="0.3">
      <c r="A7" s="63">
        <v>2</v>
      </c>
      <c r="B7" s="73" t="s">
        <v>179</v>
      </c>
      <c r="C7" s="73" t="s">
        <v>178</v>
      </c>
      <c r="D7" s="73" t="s">
        <v>183</v>
      </c>
      <c r="E7" s="74">
        <v>553</v>
      </c>
      <c r="F7" s="63">
        <v>30</v>
      </c>
      <c r="G7" s="102">
        <v>12</v>
      </c>
      <c r="H7" s="99">
        <f>E7*G7</f>
        <v>6636</v>
      </c>
      <c r="I7" s="99">
        <v>12</v>
      </c>
      <c r="J7" s="99">
        <f>H7/I7</f>
        <v>553</v>
      </c>
      <c r="K7" s="99"/>
      <c r="L7" s="277">
        <f>J7+K7</f>
        <v>553</v>
      </c>
      <c r="M7" s="63"/>
      <c r="N7" s="123" t="s">
        <v>254</v>
      </c>
      <c r="O7" s="126" t="s">
        <v>209</v>
      </c>
      <c r="P7">
        <v>1600022</v>
      </c>
    </row>
    <row r="8" spans="1:16" ht="41.4" x14ac:dyDescent="0.3">
      <c r="A8" s="63">
        <v>3</v>
      </c>
      <c r="B8" s="73" t="s">
        <v>77</v>
      </c>
      <c r="C8" s="73" t="s">
        <v>73</v>
      </c>
      <c r="D8" s="73" t="s">
        <v>74</v>
      </c>
      <c r="E8" s="74">
        <v>708</v>
      </c>
      <c r="F8" s="63">
        <v>30</v>
      </c>
      <c r="G8" s="102">
        <v>12</v>
      </c>
      <c r="H8" s="99">
        <f t="shared" ref="H8:H10" si="2">E8*G8</f>
        <v>8496</v>
      </c>
      <c r="I8" s="99">
        <v>12</v>
      </c>
      <c r="J8" s="99">
        <f t="shared" ref="J8:J10" si="3">H8/I8</f>
        <v>708</v>
      </c>
      <c r="K8" s="99"/>
      <c r="L8" s="277">
        <f t="shared" ref="L8:L10" si="4">J8+K8</f>
        <v>708</v>
      </c>
      <c r="M8" s="63"/>
      <c r="N8" s="123" t="s">
        <v>221</v>
      </c>
      <c r="O8" s="126" t="s">
        <v>205</v>
      </c>
      <c r="P8">
        <v>1410036</v>
      </c>
    </row>
    <row r="9" spans="1:16" ht="27.6" x14ac:dyDescent="0.3">
      <c r="A9" s="63">
        <v>4</v>
      </c>
      <c r="B9" s="73" t="s">
        <v>181</v>
      </c>
      <c r="C9" s="73" t="s">
        <v>95</v>
      </c>
      <c r="D9" s="73" t="s">
        <v>87</v>
      </c>
      <c r="E9" s="74">
        <v>500</v>
      </c>
      <c r="F9" s="63">
        <v>30</v>
      </c>
      <c r="G9" s="102">
        <v>12</v>
      </c>
      <c r="H9" s="99">
        <f t="shared" si="2"/>
        <v>6000</v>
      </c>
      <c r="I9" s="99">
        <v>12</v>
      </c>
      <c r="J9" s="99">
        <f t="shared" si="3"/>
        <v>500</v>
      </c>
      <c r="K9" s="99"/>
      <c r="L9" s="277">
        <f t="shared" si="4"/>
        <v>500</v>
      </c>
      <c r="M9" s="63"/>
      <c r="N9" s="123" t="s">
        <v>216</v>
      </c>
      <c r="O9" s="126" t="s">
        <v>217</v>
      </c>
      <c r="P9">
        <v>1700427</v>
      </c>
    </row>
    <row r="10" spans="1:16" ht="27.6" x14ac:dyDescent="0.3">
      <c r="A10" s="63">
        <v>5</v>
      </c>
      <c r="B10" s="73" t="s">
        <v>182</v>
      </c>
      <c r="C10" s="73" t="s">
        <v>65</v>
      </c>
      <c r="D10" s="73" t="s">
        <v>66</v>
      </c>
      <c r="E10" s="76">
        <v>614</v>
      </c>
      <c r="F10" s="63">
        <v>30</v>
      </c>
      <c r="G10" s="102">
        <v>12</v>
      </c>
      <c r="H10" s="99">
        <f t="shared" si="2"/>
        <v>7368</v>
      </c>
      <c r="I10" s="99">
        <v>12</v>
      </c>
      <c r="J10" s="99">
        <f t="shared" si="3"/>
        <v>614</v>
      </c>
      <c r="K10" s="99"/>
      <c r="L10" s="277">
        <f t="shared" si="4"/>
        <v>614</v>
      </c>
      <c r="M10" s="77"/>
      <c r="N10" s="123" t="s">
        <v>223</v>
      </c>
      <c r="O10" s="126" t="s">
        <v>224</v>
      </c>
      <c r="P10">
        <v>1700027</v>
      </c>
    </row>
    <row r="11" spans="1:16" ht="15.6" x14ac:dyDescent="0.3">
      <c r="A11" s="327" t="s">
        <v>185</v>
      </c>
      <c r="B11" s="328"/>
      <c r="C11" s="328"/>
      <c r="D11" s="328"/>
      <c r="E11" s="186">
        <f>SUM(E7:E10)</f>
        <v>2375</v>
      </c>
      <c r="F11" s="79"/>
      <c r="G11" s="79"/>
      <c r="H11" s="79">
        <f>SUM(H7:H10)</f>
        <v>28500</v>
      </c>
      <c r="I11" s="79"/>
      <c r="J11" s="79"/>
      <c r="K11" s="79"/>
      <c r="L11" s="79">
        <f>SUM(L7:L10)</f>
        <v>2375</v>
      </c>
      <c r="M11" s="79"/>
      <c r="N11" s="79"/>
      <c r="O11" s="123"/>
      <c r="P11" s="126"/>
    </row>
  </sheetData>
  <mergeCells count="5">
    <mergeCell ref="A11:D11"/>
    <mergeCell ref="A1:M1"/>
    <mergeCell ref="A2:M2"/>
    <mergeCell ref="A3:C3"/>
    <mergeCell ref="A4:M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D449"/>
  <sheetViews>
    <sheetView topLeftCell="A411" zoomScale="90" zoomScaleNormal="90" workbookViewId="0">
      <selection activeCell="E426" sqref="E426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7" customWidth="1"/>
    <col min="5" max="5" width="32.109375" customWidth="1"/>
    <col min="6" max="7" width="11.5546875" customWidth="1"/>
  </cols>
  <sheetData>
    <row r="2" spans="1:4" ht="15" thickBot="1" x14ac:dyDescent="0.35"/>
    <row r="3" spans="1:4" ht="25.2" x14ac:dyDescent="0.3">
      <c r="A3" s="294"/>
      <c r="B3" s="295"/>
      <c r="C3" s="295"/>
      <c r="D3" s="296"/>
    </row>
    <row r="4" spans="1:4" x14ac:dyDescent="0.3">
      <c r="A4" s="31"/>
      <c r="B4" s="48"/>
      <c r="C4" s="2"/>
      <c r="D4" s="30"/>
    </row>
    <row r="5" spans="1:4" x14ac:dyDescent="0.3">
      <c r="A5" s="31"/>
      <c r="B5" s="49"/>
      <c r="C5" s="2"/>
      <c r="D5" s="30"/>
    </row>
    <row r="6" spans="1:4" x14ac:dyDescent="0.3">
      <c r="A6" s="31"/>
      <c r="B6" s="49"/>
      <c r="C6" s="2"/>
      <c r="D6" s="30"/>
    </row>
    <row r="7" spans="1:4" ht="15" thickBot="1" x14ac:dyDescent="0.35">
      <c r="A7" s="31"/>
      <c r="B7" s="2"/>
      <c r="C7" s="2"/>
      <c r="D7" s="30"/>
    </row>
    <row r="8" spans="1:4" ht="25.8" thickBot="1" x14ac:dyDescent="0.35">
      <c r="A8" s="297" t="s">
        <v>0</v>
      </c>
      <c r="B8" s="298"/>
      <c r="C8" s="298"/>
      <c r="D8" s="299"/>
    </row>
    <row r="9" spans="1:4" ht="25.2" x14ac:dyDescent="0.3">
      <c r="A9" s="52"/>
      <c r="B9" s="53"/>
      <c r="C9" s="53"/>
      <c r="D9" s="54"/>
    </row>
    <row r="10" spans="1:4" x14ac:dyDescent="0.3">
      <c r="A10" s="11" t="s">
        <v>1</v>
      </c>
      <c r="B10" s="3" t="s">
        <v>40</v>
      </c>
      <c r="C10" s="3"/>
      <c r="D10" s="12"/>
    </row>
    <row r="11" spans="1:4" x14ac:dyDescent="0.3">
      <c r="A11" s="11" t="s">
        <v>2</v>
      </c>
      <c r="B11" s="55">
        <v>1500631138</v>
      </c>
      <c r="C11" s="4"/>
      <c r="D11" s="13"/>
    </row>
    <row r="12" spans="1:4" x14ac:dyDescent="0.3">
      <c r="A12" s="11" t="s">
        <v>3</v>
      </c>
      <c r="B12" s="3" t="s">
        <v>41</v>
      </c>
      <c r="C12" s="4"/>
      <c r="D12" s="14"/>
    </row>
    <row r="13" spans="1:4" x14ac:dyDescent="0.3">
      <c r="A13" s="11" t="s">
        <v>26</v>
      </c>
      <c r="B13" s="3" t="s">
        <v>25</v>
      </c>
      <c r="C13" s="4"/>
      <c r="D13" s="15"/>
    </row>
    <row r="14" spans="1:4" x14ac:dyDescent="0.3">
      <c r="A14" s="11" t="s">
        <v>99</v>
      </c>
      <c r="B14" s="55">
        <v>2022</v>
      </c>
      <c r="C14" s="4"/>
      <c r="D14" s="15"/>
    </row>
    <row r="15" spans="1:4" x14ac:dyDescent="0.3">
      <c r="A15" s="16"/>
      <c r="B15" s="5"/>
      <c r="C15" s="5"/>
      <c r="D15" s="17"/>
    </row>
    <row r="16" spans="1:4" x14ac:dyDescent="0.3">
      <c r="A16" s="39" t="s">
        <v>94</v>
      </c>
      <c r="B16" s="40"/>
      <c r="C16" s="41" t="s">
        <v>5</v>
      </c>
      <c r="D16" s="42" t="s">
        <v>6</v>
      </c>
    </row>
    <row r="17" spans="1:4" x14ac:dyDescent="0.3">
      <c r="A17" s="18"/>
      <c r="B17" s="6"/>
      <c r="C17" s="7"/>
      <c r="D17" s="19"/>
    </row>
    <row r="18" spans="1:4" x14ac:dyDescent="0.3">
      <c r="A18" s="26" t="s">
        <v>16</v>
      </c>
      <c r="B18" s="27"/>
      <c r="C18" s="28">
        <v>536</v>
      </c>
      <c r="D18" s="29"/>
    </row>
    <row r="19" spans="1:4" ht="24" x14ac:dyDescent="0.3">
      <c r="A19" s="26" t="s">
        <v>105</v>
      </c>
      <c r="B19" s="27"/>
      <c r="C19" s="28"/>
      <c r="D19" s="29"/>
    </row>
    <row r="20" spans="1:4" x14ac:dyDescent="0.3">
      <c r="A20" s="26" t="s">
        <v>8</v>
      </c>
      <c r="B20" s="27"/>
      <c r="C20" s="28"/>
      <c r="D20" s="29"/>
    </row>
    <row r="21" spans="1:4" x14ac:dyDescent="0.3">
      <c r="A21" s="26" t="s">
        <v>9</v>
      </c>
      <c r="B21" s="27"/>
      <c r="C21" s="28"/>
      <c r="D21" s="29"/>
    </row>
    <row r="22" spans="1:4" x14ac:dyDescent="0.3">
      <c r="A22" s="26"/>
      <c r="B22" s="27" t="s">
        <v>10</v>
      </c>
      <c r="C22" s="28"/>
      <c r="D22" s="29">
        <f>C18*11.45%</f>
        <v>61.371999999999993</v>
      </c>
    </row>
    <row r="23" spans="1:4" x14ac:dyDescent="0.3">
      <c r="A23" s="26"/>
      <c r="B23" s="27" t="s">
        <v>11</v>
      </c>
      <c r="C23" s="28"/>
      <c r="D23" s="29"/>
    </row>
    <row r="24" spans="1:4" x14ac:dyDescent="0.3">
      <c r="A24" s="26"/>
      <c r="B24" s="27" t="s">
        <v>55</v>
      </c>
      <c r="C24" s="28"/>
      <c r="D24" s="29"/>
    </row>
    <row r="25" spans="1:4" x14ac:dyDescent="0.3">
      <c r="A25" s="26"/>
      <c r="B25" s="27" t="s">
        <v>18</v>
      </c>
      <c r="C25" s="28"/>
      <c r="D25" s="29">
        <v>155</v>
      </c>
    </row>
    <row r="26" spans="1:4" x14ac:dyDescent="0.3">
      <c r="A26" s="26"/>
      <c r="B26" s="27"/>
      <c r="C26" s="28"/>
      <c r="D26" s="29"/>
    </row>
    <row r="27" spans="1:4" x14ac:dyDescent="0.3">
      <c r="A27" s="21"/>
      <c r="B27" s="8"/>
      <c r="C27" s="1"/>
      <c r="D27" s="20"/>
    </row>
    <row r="28" spans="1:4" x14ac:dyDescent="0.3">
      <c r="A28" s="43"/>
      <c r="B28" s="44" t="s">
        <v>12</v>
      </c>
      <c r="C28" s="46">
        <f>SUM(C18:C27)</f>
        <v>536</v>
      </c>
      <c r="D28" s="50">
        <f>SUM(D18:D27)</f>
        <v>216.37199999999999</v>
      </c>
    </row>
    <row r="29" spans="1:4" x14ac:dyDescent="0.3">
      <c r="A29" s="21"/>
      <c r="B29" s="3"/>
      <c r="C29" s="3"/>
      <c r="D29" s="22"/>
    </row>
    <row r="30" spans="1:4" ht="28.2" x14ac:dyDescent="0.3">
      <c r="A30" s="21"/>
      <c r="B30" s="45"/>
      <c r="C30" s="47" t="s">
        <v>13</v>
      </c>
      <c r="D30" s="51">
        <f>+C28-D28</f>
        <v>319.62800000000004</v>
      </c>
    </row>
    <row r="31" spans="1:4" x14ac:dyDescent="0.3">
      <c r="A31" s="21"/>
      <c r="B31" s="3"/>
      <c r="C31" s="3"/>
      <c r="D31" s="22"/>
    </row>
    <row r="32" spans="1:4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43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42</v>
      </c>
      <c r="D47" s="293"/>
    </row>
    <row r="54" spans="1:4" ht="15" thickBot="1" x14ac:dyDescent="0.35"/>
    <row r="55" spans="1:4" ht="25.2" x14ac:dyDescent="0.3">
      <c r="A55" s="294"/>
      <c r="B55" s="295"/>
      <c r="C55" s="295"/>
      <c r="D55" s="296"/>
    </row>
    <row r="56" spans="1:4" x14ac:dyDescent="0.3">
      <c r="A56" s="31"/>
      <c r="B56" s="48"/>
      <c r="C56" s="2"/>
      <c r="D56" s="30"/>
    </row>
    <row r="57" spans="1:4" x14ac:dyDescent="0.3">
      <c r="A57" s="31"/>
      <c r="B57" s="49"/>
      <c r="C57" s="2"/>
      <c r="D57" s="30"/>
    </row>
    <row r="58" spans="1:4" x14ac:dyDescent="0.3">
      <c r="A58" s="31"/>
      <c r="B58" s="49"/>
      <c r="C58" s="2"/>
      <c r="D58" s="30"/>
    </row>
    <row r="59" spans="1:4" ht="15" thickBot="1" x14ac:dyDescent="0.35">
      <c r="A59" s="31"/>
      <c r="B59" s="2"/>
      <c r="C59" s="2"/>
      <c r="D59" s="30"/>
    </row>
    <row r="60" spans="1:4" ht="25.8" thickBot="1" x14ac:dyDescent="0.35">
      <c r="A60" s="297" t="s">
        <v>0</v>
      </c>
      <c r="B60" s="298"/>
      <c r="C60" s="298"/>
      <c r="D60" s="299"/>
    </row>
    <row r="61" spans="1:4" ht="25.2" x14ac:dyDescent="0.3">
      <c r="A61" s="52"/>
      <c r="B61" s="53"/>
      <c r="C61" s="53"/>
      <c r="D61" s="54"/>
    </row>
    <row r="62" spans="1:4" x14ac:dyDescent="0.3">
      <c r="A62" s="11" t="s">
        <v>1</v>
      </c>
      <c r="B62" s="3" t="s">
        <v>40</v>
      </c>
      <c r="C62" s="3"/>
      <c r="D62" s="12"/>
    </row>
    <row r="63" spans="1:4" x14ac:dyDescent="0.3">
      <c r="A63" s="11" t="s">
        <v>2</v>
      </c>
      <c r="B63" s="55">
        <v>1500631138</v>
      </c>
      <c r="C63" s="4"/>
      <c r="D63" s="13"/>
    </row>
    <row r="64" spans="1:4" x14ac:dyDescent="0.3">
      <c r="A64" s="11" t="s">
        <v>3</v>
      </c>
      <c r="B64" s="3" t="s">
        <v>41</v>
      </c>
      <c r="C64" s="4"/>
      <c r="D64" s="14"/>
    </row>
    <row r="65" spans="1:4" x14ac:dyDescent="0.3">
      <c r="A65" s="11" t="s">
        <v>26</v>
      </c>
      <c r="B65" s="3" t="s">
        <v>112</v>
      </c>
      <c r="C65" s="4"/>
      <c r="D65" s="15"/>
    </row>
    <row r="66" spans="1:4" x14ac:dyDescent="0.3">
      <c r="A66" s="11" t="s">
        <v>99</v>
      </c>
      <c r="B66" s="55">
        <v>2022</v>
      </c>
      <c r="C66" s="4"/>
      <c r="D66" s="15"/>
    </row>
    <row r="67" spans="1:4" x14ac:dyDescent="0.3">
      <c r="A67" s="16"/>
      <c r="B67" s="5"/>
      <c r="C67" s="5"/>
      <c r="D67" s="17"/>
    </row>
    <row r="68" spans="1:4" x14ac:dyDescent="0.3">
      <c r="A68" s="39" t="s">
        <v>94</v>
      </c>
      <c r="B68" s="40"/>
      <c r="C68" s="41" t="s">
        <v>5</v>
      </c>
      <c r="D68" s="42" t="s">
        <v>6</v>
      </c>
    </row>
    <row r="69" spans="1:4" x14ac:dyDescent="0.3">
      <c r="A69" s="18"/>
      <c r="B69" s="6"/>
      <c r="C69" s="7"/>
      <c r="D69" s="19"/>
    </row>
    <row r="70" spans="1:4" x14ac:dyDescent="0.3">
      <c r="A70" s="26" t="s">
        <v>16</v>
      </c>
      <c r="B70" s="27"/>
      <c r="C70" s="28">
        <v>536</v>
      </c>
      <c r="D70" s="29"/>
    </row>
    <row r="71" spans="1:4" ht="24" x14ac:dyDescent="0.3">
      <c r="A71" s="26" t="s">
        <v>105</v>
      </c>
      <c r="B71" s="27"/>
      <c r="C71" s="28"/>
      <c r="D71" s="29"/>
    </row>
    <row r="72" spans="1:4" x14ac:dyDescent="0.3">
      <c r="A72" s="26" t="s">
        <v>8</v>
      </c>
      <c r="B72" s="27"/>
      <c r="C72" s="28"/>
      <c r="D72" s="29"/>
    </row>
    <row r="73" spans="1:4" x14ac:dyDescent="0.3">
      <c r="A73" s="26" t="s">
        <v>9</v>
      </c>
      <c r="B73" s="27"/>
      <c r="C73" s="28"/>
      <c r="D73" s="29"/>
    </row>
    <row r="74" spans="1:4" x14ac:dyDescent="0.3">
      <c r="A74" s="26"/>
      <c r="B74" s="27" t="s">
        <v>10</v>
      </c>
      <c r="C74" s="28"/>
      <c r="D74" s="29">
        <f>C70*11.45%</f>
        <v>61.371999999999993</v>
      </c>
    </row>
    <row r="75" spans="1:4" x14ac:dyDescent="0.3">
      <c r="A75" s="26"/>
      <c r="B75" s="27" t="s">
        <v>11</v>
      </c>
      <c r="C75" s="28"/>
      <c r="D75" s="29"/>
    </row>
    <row r="76" spans="1:4" x14ac:dyDescent="0.3">
      <c r="A76" s="26"/>
      <c r="B76" s="27" t="s">
        <v>55</v>
      </c>
      <c r="C76" s="28"/>
      <c r="D76" s="29">
        <v>268</v>
      </c>
    </row>
    <row r="77" spans="1:4" x14ac:dyDescent="0.3">
      <c r="A77" s="26"/>
      <c r="B77" s="27" t="s">
        <v>18</v>
      </c>
      <c r="C77" s="28"/>
      <c r="D77" s="29"/>
    </row>
    <row r="78" spans="1:4" x14ac:dyDescent="0.3">
      <c r="A78" s="26"/>
      <c r="B78" s="27"/>
      <c r="C78" s="28"/>
      <c r="D78" s="29"/>
    </row>
    <row r="79" spans="1:4" x14ac:dyDescent="0.3">
      <c r="A79" s="21"/>
      <c r="B79" s="8"/>
      <c r="C79" s="1"/>
      <c r="D79" s="20"/>
    </row>
    <row r="80" spans="1:4" x14ac:dyDescent="0.3">
      <c r="A80" s="43"/>
      <c r="B80" s="44" t="s">
        <v>12</v>
      </c>
      <c r="C80" s="46">
        <f>SUM(C70:C79)</f>
        <v>536</v>
      </c>
      <c r="D80" s="50">
        <f>SUM(D70:D79)</f>
        <v>329.37200000000001</v>
      </c>
    </row>
    <row r="81" spans="1:4" x14ac:dyDescent="0.3">
      <c r="A81" s="21"/>
      <c r="B81" s="3"/>
      <c r="C81" s="3"/>
      <c r="D81" s="22"/>
    </row>
    <row r="82" spans="1:4" ht="28.2" x14ac:dyDescent="0.3">
      <c r="A82" s="21"/>
      <c r="B82" s="45"/>
      <c r="C82" s="47" t="s">
        <v>13</v>
      </c>
      <c r="D82" s="51">
        <f>+C80-D80</f>
        <v>206.62799999999999</v>
      </c>
    </row>
    <row r="83" spans="1:4" x14ac:dyDescent="0.3">
      <c r="A83" s="21"/>
      <c r="B83" s="3"/>
      <c r="C83" s="3"/>
      <c r="D83" s="22"/>
    </row>
    <row r="84" spans="1:4" x14ac:dyDescent="0.3">
      <c r="A84" s="23"/>
      <c r="B84" s="4" t="s">
        <v>14</v>
      </c>
      <c r="C84" s="2"/>
      <c r="D84" s="24"/>
    </row>
    <row r="85" spans="1:4" ht="15" thickBot="1" x14ac:dyDescent="0.35">
      <c r="A85" s="23"/>
      <c r="B85" s="9"/>
      <c r="C85" s="9"/>
      <c r="D85" s="24"/>
    </row>
    <row r="86" spans="1:4" x14ac:dyDescent="0.3">
      <c r="A86" s="300" t="s">
        <v>28</v>
      </c>
      <c r="B86" s="300" t="s">
        <v>93</v>
      </c>
      <c r="C86" s="302" t="s">
        <v>30</v>
      </c>
      <c r="D86" s="303"/>
    </row>
    <row r="87" spans="1:4" ht="15" thickBot="1" x14ac:dyDescent="0.35">
      <c r="A87" s="301"/>
      <c r="B87" s="301"/>
      <c r="C87" s="304"/>
      <c r="D87" s="30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8" t="s">
        <v>20</v>
      </c>
      <c r="B98" s="35" t="s">
        <v>21</v>
      </c>
      <c r="C98" s="290" t="s">
        <v>43</v>
      </c>
      <c r="D98" s="291"/>
    </row>
    <row r="99" spans="1:4" ht="15" thickBot="1" x14ac:dyDescent="0.35">
      <c r="A99" s="36" t="s">
        <v>22</v>
      </c>
      <c r="B99" s="33" t="s">
        <v>23</v>
      </c>
      <c r="C99" s="292" t="s">
        <v>42</v>
      </c>
      <c r="D99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40</v>
      </c>
      <c r="C112" s="3"/>
      <c r="D112" s="12"/>
    </row>
    <row r="113" spans="1:4" x14ac:dyDescent="0.3">
      <c r="A113" s="11" t="s">
        <v>2</v>
      </c>
      <c r="B113" s="55">
        <v>1500631138</v>
      </c>
      <c r="C113" s="4"/>
      <c r="D113" s="13"/>
    </row>
    <row r="114" spans="1:4" x14ac:dyDescent="0.3">
      <c r="A114" s="11" t="s">
        <v>3</v>
      </c>
      <c r="B114" s="3" t="s">
        <v>41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536</v>
      </c>
      <c r="D120" s="29"/>
    </row>
    <row r="121" spans="1:4" ht="24" x14ac:dyDescent="0.3">
      <c r="A121" s="26" t="s">
        <v>105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61.371999999999993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>
        <v>268</v>
      </c>
    </row>
    <row r="127" spans="1:4" x14ac:dyDescent="0.3">
      <c r="A127" s="26"/>
      <c r="B127" s="27" t="s">
        <v>18</v>
      </c>
      <c r="C127" s="28"/>
      <c r="D127" s="29"/>
    </row>
    <row r="128" spans="1:4" x14ac:dyDescent="0.3">
      <c r="A128" s="26"/>
      <c r="B128" s="27"/>
      <c r="C128" s="28"/>
      <c r="D128" s="29"/>
    </row>
    <row r="129" spans="1:4" x14ac:dyDescent="0.3">
      <c r="A129" s="21"/>
      <c r="B129" s="8"/>
      <c r="C129" s="1"/>
      <c r="D129" s="20"/>
    </row>
    <row r="130" spans="1:4" x14ac:dyDescent="0.3">
      <c r="A130" s="43"/>
      <c r="B130" s="44" t="s">
        <v>12</v>
      </c>
      <c r="C130" s="46">
        <f>SUM(C120:C129)</f>
        <v>536</v>
      </c>
      <c r="D130" s="50">
        <f>SUM(D120:D129)</f>
        <v>329.37200000000001</v>
      </c>
    </row>
    <row r="131" spans="1:4" x14ac:dyDescent="0.3">
      <c r="A131" s="21"/>
      <c r="B131" s="3"/>
      <c r="C131" s="3"/>
      <c r="D131" s="22"/>
    </row>
    <row r="132" spans="1:4" ht="28.2" x14ac:dyDescent="0.3">
      <c r="A132" s="21"/>
      <c r="B132" s="45"/>
      <c r="C132" s="47" t="s">
        <v>13</v>
      </c>
      <c r="D132" s="51">
        <f>+C130-D130</f>
        <v>206.62799999999999</v>
      </c>
    </row>
    <row r="133" spans="1:4" x14ac:dyDescent="0.3">
      <c r="A133" s="21"/>
      <c r="B133" s="3"/>
      <c r="C133" s="3"/>
      <c r="D133" s="22"/>
    </row>
    <row r="134" spans="1:4" x14ac:dyDescent="0.3">
      <c r="A134" s="23"/>
      <c r="B134" s="4" t="s">
        <v>14</v>
      </c>
      <c r="C134" s="2"/>
      <c r="D134" s="24"/>
    </row>
    <row r="135" spans="1:4" ht="15" thickBot="1" x14ac:dyDescent="0.35">
      <c r="A135" s="23"/>
      <c r="B135" s="9"/>
      <c r="C135" s="9"/>
      <c r="D135" s="24"/>
    </row>
    <row r="136" spans="1:4" x14ac:dyDescent="0.3">
      <c r="A136" s="300" t="s">
        <v>28</v>
      </c>
      <c r="B136" s="300" t="s">
        <v>93</v>
      </c>
      <c r="C136" s="302" t="s">
        <v>30</v>
      </c>
      <c r="D136" s="303"/>
    </row>
    <row r="137" spans="1:4" ht="15" thickBot="1" x14ac:dyDescent="0.35">
      <c r="A137" s="301"/>
      <c r="B137" s="301"/>
      <c r="C137" s="304"/>
      <c r="D137" s="305"/>
    </row>
    <row r="138" spans="1:4" x14ac:dyDescent="0.3">
      <c r="A138" s="37"/>
      <c r="B138" s="34"/>
      <c r="C138" s="32"/>
      <c r="D138" s="2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8" t="s">
        <v>20</v>
      </c>
      <c r="B148" s="35" t="s">
        <v>21</v>
      </c>
      <c r="C148" s="290" t="s">
        <v>43</v>
      </c>
      <c r="D148" s="291"/>
    </row>
    <row r="149" spans="1:4" ht="15" thickBot="1" x14ac:dyDescent="0.35">
      <c r="A149" s="36" t="s">
        <v>22</v>
      </c>
      <c r="B149" s="33" t="s">
        <v>23</v>
      </c>
      <c r="C149" s="292" t="s">
        <v>42</v>
      </c>
      <c r="D149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40</v>
      </c>
      <c r="C162" s="3"/>
      <c r="D162" s="12"/>
    </row>
    <row r="163" spans="1:4" x14ac:dyDescent="0.3">
      <c r="A163" s="11" t="s">
        <v>2</v>
      </c>
      <c r="B163" s="55">
        <v>1500631138</v>
      </c>
      <c r="C163" s="4"/>
      <c r="D163" s="13"/>
    </row>
    <row r="164" spans="1:4" x14ac:dyDescent="0.3">
      <c r="A164" s="11" t="s">
        <v>3</v>
      </c>
      <c r="B164" s="3" t="s">
        <v>41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536</v>
      </c>
      <c r="D170" s="29"/>
    </row>
    <row r="171" spans="1:4" ht="24" x14ac:dyDescent="0.3">
      <c r="A171" s="26" t="s">
        <v>105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10</v>
      </c>
      <c r="C174" s="28"/>
      <c r="D174" s="29">
        <f>C170*11.45%</f>
        <v>61.371999999999993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55</v>
      </c>
      <c r="C176" s="28"/>
      <c r="D176" s="29"/>
    </row>
    <row r="177" spans="1:4" x14ac:dyDescent="0.3">
      <c r="A177" s="26"/>
      <c r="B177" s="27" t="s">
        <v>18</v>
      </c>
      <c r="C177" s="28"/>
      <c r="D177" s="29">
        <v>82</v>
      </c>
    </row>
    <row r="178" spans="1:4" x14ac:dyDescent="0.3">
      <c r="A178" s="26"/>
      <c r="B178" s="27"/>
      <c r="C178" s="28"/>
      <c r="D178" s="29"/>
    </row>
    <row r="179" spans="1:4" x14ac:dyDescent="0.3">
      <c r="A179" s="21"/>
      <c r="B179" s="8"/>
      <c r="C179" s="1"/>
      <c r="D179" s="20"/>
    </row>
    <row r="180" spans="1:4" x14ac:dyDescent="0.3">
      <c r="A180" s="43"/>
      <c r="B180" s="44" t="s">
        <v>12</v>
      </c>
      <c r="C180" s="46">
        <f>SUM(C170:C179)</f>
        <v>536</v>
      </c>
      <c r="D180" s="50">
        <f>SUM(D170:D179)</f>
        <v>143.37199999999999</v>
      </c>
    </row>
    <row r="181" spans="1:4" x14ac:dyDescent="0.3">
      <c r="A181" s="21"/>
      <c r="B181" s="3"/>
      <c r="C181" s="3"/>
      <c r="D181" s="22"/>
    </row>
    <row r="182" spans="1:4" ht="28.2" x14ac:dyDescent="0.3">
      <c r="A182" s="21"/>
      <c r="B182" s="45"/>
      <c r="C182" s="47" t="s">
        <v>13</v>
      </c>
      <c r="D182" s="51">
        <f>+C180-D180</f>
        <v>392.62800000000004</v>
      </c>
    </row>
    <row r="183" spans="1:4" x14ac:dyDescent="0.3">
      <c r="A183" s="21"/>
      <c r="B183" s="3"/>
      <c r="C183" s="3"/>
      <c r="D183" s="22"/>
    </row>
    <row r="184" spans="1:4" x14ac:dyDescent="0.3">
      <c r="A184" s="23"/>
      <c r="B184" s="4" t="s">
        <v>14</v>
      </c>
      <c r="C184" s="2"/>
      <c r="D184" s="24"/>
    </row>
    <row r="185" spans="1:4" ht="15" thickBot="1" x14ac:dyDescent="0.35">
      <c r="A185" s="23"/>
      <c r="B185" s="9"/>
      <c r="C185" s="9"/>
      <c r="D185" s="24"/>
    </row>
    <row r="186" spans="1:4" x14ac:dyDescent="0.3">
      <c r="A186" s="300" t="s">
        <v>28</v>
      </c>
      <c r="B186" s="300" t="s">
        <v>93</v>
      </c>
      <c r="C186" s="302" t="s">
        <v>30</v>
      </c>
      <c r="D186" s="303"/>
    </row>
    <row r="187" spans="1:4" ht="15" thickBot="1" x14ac:dyDescent="0.35">
      <c r="A187" s="301"/>
      <c r="B187" s="301"/>
      <c r="C187" s="304"/>
      <c r="D187" s="305"/>
    </row>
    <row r="188" spans="1:4" x14ac:dyDescent="0.3">
      <c r="A188" s="37"/>
      <c r="B188" s="34"/>
      <c r="C188" s="32"/>
      <c r="D188" s="2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8" t="s">
        <v>20</v>
      </c>
      <c r="B198" s="35" t="s">
        <v>21</v>
      </c>
      <c r="C198" s="290" t="s">
        <v>43</v>
      </c>
      <c r="D198" s="291"/>
    </row>
    <row r="199" spans="1:4" ht="15" thickBot="1" x14ac:dyDescent="0.35">
      <c r="A199" s="36" t="s">
        <v>22</v>
      </c>
      <c r="B199" s="33" t="s">
        <v>23</v>
      </c>
      <c r="C199" s="292" t="s">
        <v>42</v>
      </c>
      <c r="D199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40</v>
      </c>
      <c r="C212" s="3"/>
      <c r="D212" s="12"/>
    </row>
    <row r="213" spans="1:4" x14ac:dyDescent="0.3">
      <c r="A213" s="11" t="s">
        <v>2</v>
      </c>
      <c r="B213" s="55">
        <v>1500631138</v>
      </c>
      <c r="C213" s="4"/>
      <c r="D213" s="13"/>
    </row>
    <row r="214" spans="1:4" x14ac:dyDescent="0.3">
      <c r="A214" s="11" t="s">
        <v>3</v>
      </c>
      <c r="B214" s="3" t="s">
        <v>41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536</v>
      </c>
      <c r="D220" s="29"/>
    </row>
    <row r="221" spans="1:4" ht="24" x14ac:dyDescent="0.3">
      <c r="A221" s="26" t="s">
        <v>105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61.371999999999993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55</v>
      </c>
      <c r="C226" s="28"/>
      <c r="D226" s="29"/>
    </row>
    <row r="227" spans="1:4" x14ac:dyDescent="0.3">
      <c r="A227" s="26"/>
      <c r="B227" s="27" t="s">
        <v>18</v>
      </c>
      <c r="C227" s="28"/>
      <c r="D227" s="29">
        <v>66.67</v>
      </c>
    </row>
    <row r="228" spans="1:4" x14ac:dyDescent="0.3">
      <c r="A228" s="26"/>
      <c r="B228" s="27"/>
      <c r="C228" s="28"/>
      <c r="D228" s="29"/>
    </row>
    <row r="229" spans="1:4" x14ac:dyDescent="0.3">
      <c r="A229" s="21"/>
      <c r="B229" s="8"/>
      <c r="C229" s="1"/>
      <c r="D229" s="20"/>
    </row>
    <row r="230" spans="1:4" x14ac:dyDescent="0.3">
      <c r="A230" s="43"/>
      <c r="B230" s="44" t="s">
        <v>12</v>
      </c>
      <c r="C230" s="46">
        <f>SUM(C220:C229)</f>
        <v>536</v>
      </c>
      <c r="D230" s="50">
        <f>SUM(D220:D229)</f>
        <v>128.042</v>
      </c>
    </row>
    <row r="231" spans="1:4" x14ac:dyDescent="0.3">
      <c r="A231" s="21"/>
      <c r="B231" s="3"/>
      <c r="C231" s="3"/>
      <c r="D231" s="22"/>
    </row>
    <row r="232" spans="1:4" ht="28.2" x14ac:dyDescent="0.3">
      <c r="A232" s="21"/>
      <c r="B232" s="45"/>
      <c r="C232" s="47" t="s">
        <v>13</v>
      </c>
      <c r="D232" s="51">
        <f>+C230-D230</f>
        <v>407.95799999999997</v>
      </c>
    </row>
    <row r="233" spans="1:4" x14ac:dyDescent="0.3">
      <c r="A233" s="21"/>
      <c r="B233" s="3"/>
      <c r="C233" s="3"/>
      <c r="D233" s="22"/>
    </row>
    <row r="234" spans="1:4" x14ac:dyDescent="0.3">
      <c r="A234" s="23"/>
      <c r="B234" s="4" t="s">
        <v>14</v>
      </c>
      <c r="C234" s="2"/>
      <c r="D234" s="24"/>
    </row>
    <row r="235" spans="1:4" ht="15" thickBot="1" x14ac:dyDescent="0.35">
      <c r="A235" s="23"/>
      <c r="B235" s="9"/>
      <c r="C235" s="9"/>
      <c r="D235" s="24"/>
    </row>
    <row r="236" spans="1:4" x14ac:dyDescent="0.3">
      <c r="A236" s="300" t="s">
        <v>28</v>
      </c>
      <c r="B236" s="300" t="s">
        <v>93</v>
      </c>
      <c r="C236" s="302" t="s">
        <v>30</v>
      </c>
      <c r="D236" s="303"/>
    </row>
    <row r="237" spans="1:4" ht="15" thickBot="1" x14ac:dyDescent="0.35">
      <c r="A237" s="301"/>
      <c r="B237" s="301"/>
      <c r="C237" s="304"/>
      <c r="D237" s="305"/>
    </row>
    <row r="238" spans="1:4" x14ac:dyDescent="0.3">
      <c r="A238" s="37"/>
      <c r="B238" s="34"/>
      <c r="C238" s="32"/>
      <c r="D238" s="2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8" t="s">
        <v>20</v>
      </c>
      <c r="B248" s="35" t="s">
        <v>21</v>
      </c>
      <c r="C248" s="290" t="s">
        <v>43</v>
      </c>
      <c r="D248" s="291"/>
    </row>
    <row r="249" spans="1:4" ht="15" thickBot="1" x14ac:dyDescent="0.35">
      <c r="A249" s="36" t="s">
        <v>22</v>
      </c>
      <c r="B249" s="33" t="s">
        <v>23</v>
      </c>
      <c r="C249" s="292" t="s">
        <v>42</v>
      </c>
      <c r="D249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40</v>
      </c>
      <c r="C262" s="3"/>
      <c r="D262" s="12"/>
    </row>
    <row r="263" spans="1:4" x14ac:dyDescent="0.3">
      <c r="A263" s="11" t="s">
        <v>2</v>
      </c>
      <c r="B263" s="55">
        <v>1500631138</v>
      </c>
      <c r="C263" s="4"/>
      <c r="D263" s="13"/>
    </row>
    <row r="264" spans="1:4" x14ac:dyDescent="0.3">
      <c r="A264" s="11" t="s">
        <v>3</v>
      </c>
      <c r="B264" s="3" t="s">
        <v>41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536</v>
      </c>
      <c r="D270" s="29"/>
    </row>
    <row r="271" spans="1:4" ht="24" x14ac:dyDescent="0.3">
      <c r="A271" s="26" t="s">
        <v>105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10</v>
      </c>
      <c r="C274" s="28"/>
      <c r="D274" s="29">
        <f>C270*11.45%</f>
        <v>61.371999999999993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55</v>
      </c>
      <c r="C276" s="28"/>
      <c r="D276" s="29"/>
    </row>
    <row r="277" spans="1:4" x14ac:dyDescent="0.3">
      <c r="A277" s="26"/>
      <c r="B277" s="27" t="s">
        <v>18</v>
      </c>
      <c r="C277" s="28"/>
      <c r="D277" s="29"/>
    </row>
    <row r="278" spans="1:4" x14ac:dyDescent="0.3">
      <c r="A278" s="26"/>
      <c r="B278" s="27"/>
      <c r="C278" s="28"/>
      <c r="D278" s="29"/>
    </row>
    <row r="279" spans="1:4" x14ac:dyDescent="0.3">
      <c r="A279" s="21"/>
      <c r="B279" s="8"/>
      <c r="C279" s="1"/>
      <c r="D279" s="20"/>
    </row>
    <row r="280" spans="1:4" x14ac:dyDescent="0.3">
      <c r="A280" s="43"/>
      <c r="B280" s="44" t="s">
        <v>12</v>
      </c>
      <c r="C280" s="46">
        <f>SUM(C270:C279)</f>
        <v>536</v>
      </c>
      <c r="D280" s="50">
        <f>SUM(D270:D279)</f>
        <v>61.371999999999993</v>
      </c>
    </row>
    <row r="281" spans="1:4" x14ac:dyDescent="0.3">
      <c r="A281" s="21"/>
      <c r="B281" s="3"/>
      <c r="C281" s="3"/>
      <c r="D281" s="22"/>
    </row>
    <row r="282" spans="1:4" ht="28.2" x14ac:dyDescent="0.3">
      <c r="A282" s="21"/>
      <c r="B282" s="45"/>
      <c r="C282" s="47" t="s">
        <v>13</v>
      </c>
      <c r="D282" s="51">
        <f>+C280-D280</f>
        <v>474.62799999999999</v>
      </c>
    </row>
    <row r="283" spans="1:4" x14ac:dyDescent="0.3">
      <c r="A283" s="21"/>
      <c r="B283" s="3"/>
      <c r="C283" s="3"/>
      <c r="D283" s="22"/>
    </row>
    <row r="284" spans="1:4" x14ac:dyDescent="0.3">
      <c r="A284" s="23"/>
      <c r="B284" s="4" t="s">
        <v>14</v>
      </c>
      <c r="C284" s="2"/>
      <c r="D284" s="24"/>
    </row>
    <row r="285" spans="1:4" ht="15" thickBot="1" x14ac:dyDescent="0.35">
      <c r="A285" s="23"/>
      <c r="B285" s="9"/>
      <c r="C285" s="9"/>
      <c r="D285" s="24"/>
    </row>
    <row r="286" spans="1:4" x14ac:dyDescent="0.3">
      <c r="A286" s="300" t="s">
        <v>28</v>
      </c>
      <c r="B286" s="300" t="s">
        <v>93</v>
      </c>
      <c r="C286" s="302" t="s">
        <v>30</v>
      </c>
      <c r="D286" s="303"/>
    </row>
    <row r="287" spans="1:4" ht="15" thickBot="1" x14ac:dyDescent="0.35">
      <c r="A287" s="301"/>
      <c r="B287" s="301"/>
      <c r="C287" s="304"/>
      <c r="D287" s="305"/>
    </row>
    <row r="288" spans="1:4" x14ac:dyDescent="0.3">
      <c r="A288" s="37"/>
      <c r="B288" s="34"/>
      <c r="C288" s="32"/>
      <c r="D288" s="2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8" t="s">
        <v>20</v>
      </c>
      <c r="B298" s="35" t="s">
        <v>21</v>
      </c>
      <c r="C298" s="290" t="s">
        <v>43</v>
      </c>
      <c r="D298" s="291"/>
    </row>
    <row r="299" spans="1:4" ht="15" thickBot="1" x14ac:dyDescent="0.35">
      <c r="A299" s="36" t="s">
        <v>22</v>
      </c>
      <c r="B299" s="33" t="s">
        <v>23</v>
      </c>
      <c r="C299" s="292" t="s">
        <v>42</v>
      </c>
      <c r="D299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40</v>
      </c>
      <c r="C312" s="3"/>
      <c r="D312" s="12"/>
    </row>
    <row r="313" spans="1:4" x14ac:dyDescent="0.3">
      <c r="A313" s="11" t="s">
        <v>2</v>
      </c>
      <c r="B313" s="55">
        <v>1500631138</v>
      </c>
      <c r="C313" s="4"/>
      <c r="D313" s="13"/>
    </row>
    <row r="314" spans="1:4" x14ac:dyDescent="0.3">
      <c r="A314" s="11" t="s">
        <v>3</v>
      </c>
      <c r="B314" s="3" t="s">
        <v>41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536</v>
      </c>
      <c r="D320" s="29"/>
    </row>
    <row r="321" spans="1:4" ht="24" x14ac:dyDescent="0.3">
      <c r="A321" s="26" t="s">
        <v>105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10</v>
      </c>
      <c r="C324" s="28"/>
      <c r="D324" s="29">
        <f>C320*11.45%</f>
        <v>61.371999999999993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55</v>
      </c>
      <c r="C326" s="28"/>
      <c r="D326" s="29">
        <v>268</v>
      </c>
    </row>
    <row r="327" spans="1:4" x14ac:dyDescent="0.3">
      <c r="A327" s="26"/>
      <c r="B327" s="27" t="s">
        <v>18</v>
      </c>
      <c r="C327" s="28"/>
      <c r="D327" s="29">
        <v>96</v>
      </c>
    </row>
    <row r="328" spans="1:4" x14ac:dyDescent="0.3">
      <c r="A328" s="26"/>
      <c r="B328" s="27"/>
      <c r="C328" s="28"/>
      <c r="D328" s="29"/>
    </row>
    <row r="329" spans="1:4" x14ac:dyDescent="0.3">
      <c r="A329" s="21"/>
      <c r="B329" s="8"/>
      <c r="C329" s="1"/>
      <c r="D329" s="20"/>
    </row>
    <row r="330" spans="1:4" x14ac:dyDescent="0.3">
      <c r="A330" s="43"/>
      <c r="B330" s="44" t="s">
        <v>12</v>
      </c>
      <c r="C330" s="46">
        <f>SUM(C320:C329)</f>
        <v>536</v>
      </c>
      <c r="D330" s="50">
        <f>SUM(D320:D329)</f>
        <v>425.37200000000001</v>
      </c>
    </row>
    <row r="331" spans="1:4" x14ac:dyDescent="0.3">
      <c r="A331" s="21"/>
      <c r="B331" s="3"/>
      <c r="C331" s="3"/>
      <c r="D331" s="22"/>
    </row>
    <row r="332" spans="1:4" ht="28.2" x14ac:dyDescent="0.3">
      <c r="A332" s="21"/>
      <c r="B332" s="45"/>
      <c r="C332" s="47" t="s">
        <v>13</v>
      </c>
      <c r="D332" s="51">
        <f>+C330-D330</f>
        <v>110.62799999999999</v>
      </c>
    </row>
    <row r="333" spans="1:4" x14ac:dyDescent="0.3">
      <c r="A333" s="21"/>
      <c r="B333" s="3"/>
      <c r="C333" s="3"/>
      <c r="D333" s="22"/>
    </row>
    <row r="334" spans="1:4" x14ac:dyDescent="0.3">
      <c r="A334" s="23"/>
      <c r="B334" s="4" t="s">
        <v>14</v>
      </c>
      <c r="C334" s="2"/>
      <c r="D334" s="24"/>
    </row>
    <row r="335" spans="1:4" ht="15" thickBot="1" x14ac:dyDescent="0.35">
      <c r="A335" s="23"/>
      <c r="B335" s="9"/>
      <c r="C335" s="9"/>
      <c r="D335" s="24"/>
    </row>
    <row r="336" spans="1:4" x14ac:dyDescent="0.3">
      <c r="A336" s="300" t="s">
        <v>28</v>
      </c>
      <c r="B336" s="300" t="s">
        <v>93</v>
      </c>
      <c r="C336" s="302" t="s">
        <v>30</v>
      </c>
      <c r="D336" s="303"/>
    </row>
    <row r="337" spans="1:4" ht="15" thickBot="1" x14ac:dyDescent="0.35">
      <c r="A337" s="301"/>
      <c r="B337" s="301"/>
      <c r="C337" s="304"/>
      <c r="D337" s="305"/>
    </row>
    <row r="338" spans="1:4" x14ac:dyDescent="0.3">
      <c r="A338" s="37"/>
      <c r="B338" s="34"/>
      <c r="C338" s="32"/>
      <c r="D338" s="2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8" t="s">
        <v>20</v>
      </c>
      <c r="B348" s="35" t="s">
        <v>21</v>
      </c>
      <c r="C348" s="290" t="s">
        <v>43</v>
      </c>
      <c r="D348" s="291"/>
    </row>
    <row r="349" spans="1:4" ht="15" thickBot="1" x14ac:dyDescent="0.35">
      <c r="A349" s="36" t="s">
        <v>22</v>
      </c>
      <c r="B349" s="33" t="s">
        <v>23</v>
      </c>
      <c r="C349" s="292" t="s">
        <v>42</v>
      </c>
      <c r="D349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40</v>
      </c>
      <c r="C362" s="3"/>
      <c r="D362" s="12"/>
    </row>
    <row r="363" spans="1:4" x14ac:dyDescent="0.3">
      <c r="A363" s="11" t="s">
        <v>2</v>
      </c>
      <c r="B363" s="55">
        <v>1500631138</v>
      </c>
      <c r="C363" s="4"/>
      <c r="D363" s="13"/>
    </row>
    <row r="364" spans="1:4" x14ac:dyDescent="0.3">
      <c r="A364" s="11" t="s">
        <v>3</v>
      </c>
      <c r="B364" s="3" t="s">
        <v>41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ht="24" x14ac:dyDescent="0.3">
      <c r="A371" s="26" t="s">
        <v>105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10</v>
      </c>
      <c r="C374" s="28"/>
      <c r="D374" s="29">
        <f>C370*11.45%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18</v>
      </c>
      <c r="C377" s="28"/>
      <c r="D377" s="29"/>
    </row>
    <row r="378" spans="1:4" x14ac:dyDescent="0.3">
      <c r="A378" s="26"/>
      <c r="B378" s="27"/>
      <c r="C378" s="28"/>
      <c r="D378" s="29"/>
    </row>
    <row r="379" spans="1:4" x14ac:dyDescent="0.3">
      <c r="A379" s="21"/>
      <c r="B379" s="8"/>
      <c r="C379" s="1"/>
      <c r="D379" s="20"/>
    </row>
    <row r="380" spans="1:4" x14ac:dyDescent="0.3">
      <c r="A380" s="43"/>
      <c r="B380" s="44" t="s">
        <v>12</v>
      </c>
      <c r="C380" s="46">
        <f>SUM(C370:C379)</f>
        <v>425</v>
      </c>
      <c r="D380" s="50">
        <f>SUM(D370:D379)</f>
        <v>0</v>
      </c>
    </row>
    <row r="381" spans="1:4" x14ac:dyDescent="0.3">
      <c r="A381" s="21"/>
      <c r="B381" s="3"/>
      <c r="C381" s="3"/>
      <c r="D381" s="22"/>
    </row>
    <row r="382" spans="1:4" ht="28.2" x14ac:dyDescent="0.3">
      <c r="A382" s="21"/>
      <c r="B382" s="45"/>
      <c r="C382" s="47" t="s">
        <v>13</v>
      </c>
      <c r="D382" s="51">
        <f>+C380-D380</f>
        <v>425</v>
      </c>
    </row>
    <row r="383" spans="1:4" x14ac:dyDescent="0.3">
      <c r="A383" s="21"/>
      <c r="B383" s="3"/>
      <c r="C383" s="3"/>
      <c r="D383" s="22"/>
    </row>
    <row r="384" spans="1:4" x14ac:dyDescent="0.3">
      <c r="A384" s="23"/>
      <c r="B384" s="4" t="s">
        <v>14</v>
      </c>
      <c r="C384" s="2"/>
      <c r="D384" s="24"/>
    </row>
    <row r="385" spans="1:4" ht="15" thickBot="1" x14ac:dyDescent="0.35">
      <c r="A385" s="23"/>
      <c r="B385" s="9"/>
      <c r="C385" s="9"/>
      <c r="D385" s="24"/>
    </row>
    <row r="386" spans="1:4" x14ac:dyDescent="0.3">
      <c r="A386" s="300" t="s">
        <v>28</v>
      </c>
      <c r="B386" s="300" t="s">
        <v>93</v>
      </c>
      <c r="C386" s="302" t="s">
        <v>30</v>
      </c>
      <c r="D386" s="303"/>
    </row>
    <row r="387" spans="1:4" ht="15" thickBot="1" x14ac:dyDescent="0.35">
      <c r="A387" s="301"/>
      <c r="B387" s="301"/>
      <c r="C387" s="304"/>
      <c r="D387" s="305"/>
    </row>
    <row r="388" spans="1:4" x14ac:dyDescent="0.3">
      <c r="A388" s="37"/>
      <c r="B388" s="34"/>
      <c r="C388" s="32"/>
      <c r="D388" s="2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8" t="s">
        <v>20</v>
      </c>
      <c r="B398" s="35" t="s">
        <v>21</v>
      </c>
      <c r="C398" s="290" t="s">
        <v>43</v>
      </c>
      <c r="D398" s="291"/>
    </row>
    <row r="399" spans="1:4" ht="15" thickBot="1" x14ac:dyDescent="0.35">
      <c r="A399" s="36" t="s">
        <v>22</v>
      </c>
      <c r="B399" s="33" t="s">
        <v>23</v>
      </c>
      <c r="C399" s="292" t="s">
        <v>42</v>
      </c>
      <c r="D399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40</v>
      </c>
      <c r="C412" s="3"/>
      <c r="D412" s="12"/>
    </row>
    <row r="413" spans="1:4" x14ac:dyDescent="0.3">
      <c r="A413" s="11" t="s">
        <v>2</v>
      </c>
      <c r="B413" s="55">
        <v>1500631138</v>
      </c>
      <c r="C413" s="4"/>
      <c r="D413" s="13"/>
    </row>
    <row r="414" spans="1:4" x14ac:dyDescent="0.3">
      <c r="A414" s="11" t="s">
        <v>3</v>
      </c>
      <c r="B414" s="3" t="s">
        <v>41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536</v>
      </c>
      <c r="D420" s="29"/>
    </row>
    <row r="421" spans="1:4" ht="24" x14ac:dyDescent="0.3">
      <c r="A421" s="26" t="s">
        <v>105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10</v>
      </c>
      <c r="C424" s="28"/>
      <c r="D424" s="29">
        <f>C420*11.45%</f>
        <v>61.371999999999993</v>
      </c>
    </row>
    <row r="425" spans="1:4" x14ac:dyDescent="0.3">
      <c r="A425" s="26"/>
      <c r="B425" s="27" t="s">
        <v>11</v>
      </c>
      <c r="C425" s="28"/>
      <c r="D425" s="29"/>
    </row>
    <row r="426" spans="1:4" x14ac:dyDescent="0.3">
      <c r="A426" s="26"/>
      <c r="B426" s="27" t="s">
        <v>55</v>
      </c>
      <c r="C426" s="28"/>
      <c r="D426" s="29">
        <v>268</v>
      </c>
    </row>
    <row r="427" spans="1:4" x14ac:dyDescent="0.3">
      <c r="A427" s="26"/>
      <c r="B427" s="27" t="s">
        <v>18</v>
      </c>
      <c r="C427" s="28"/>
      <c r="D427" s="29">
        <v>91.5</v>
      </c>
    </row>
    <row r="428" spans="1:4" x14ac:dyDescent="0.3">
      <c r="A428" s="26"/>
      <c r="B428" s="27"/>
      <c r="C428" s="28"/>
      <c r="D428" s="29"/>
    </row>
    <row r="429" spans="1:4" x14ac:dyDescent="0.3">
      <c r="A429" s="21"/>
      <c r="B429" s="8"/>
      <c r="C429" s="1"/>
      <c r="D429" s="20"/>
    </row>
    <row r="430" spans="1:4" x14ac:dyDescent="0.3">
      <c r="A430" s="43"/>
      <c r="B430" s="44" t="s">
        <v>12</v>
      </c>
      <c r="C430" s="46">
        <f>SUM(C420:C429)</f>
        <v>536</v>
      </c>
      <c r="D430" s="50">
        <f>SUM(D420:D429)</f>
        <v>420.87200000000001</v>
      </c>
    </row>
    <row r="431" spans="1:4" x14ac:dyDescent="0.3">
      <c r="A431" s="21"/>
      <c r="B431" s="3"/>
      <c r="C431" s="3"/>
      <c r="D431" s="22"/>
    </row>
    <row r="432" spans="1:4" ht="28.2" x14ac:dyDescent="0.3">
      <c r="A432" s="21"/>
      <c r="B432" s="45"/>
      <c r="C432" s="47" t="s">
        <v>13</v>
      </c>
      <c r="D432" s="51">
        <f>+C430-D430</f>
        <v>115.12799999999999</v>
      </c>
    </row>
    <row r="433" spans="1:4" x14ac:dyDescent="0.3">
      <c r="A433" s="21"/>
      <c r="B433" s="3"/>
      <c r="C433" s="3"/>
      <c r="D433" s="22"/>
    </row>
    <row r="434" spans="1:4" x14ac:dyDescent="0.3">
      <c r="A434" s="23"/>
      <c r="B434" s="4" t="s">
        <v>14</v>
      </c>
      <c r="C434" s="2"/>
      <c r="D434" s="24"/>
    </row>
    <row r="435" spans="1:4" ht="15" thickBot="1" x14ac:dyDescent="0.35">
      <c r="A435" s="23"/>
      <c r="B435" s="9"/>
      <c r="C435" s="9"/>
      <c r="D435" s="24"/>
    </row>
    <row r="436" spans="1:4" x14ac:dyDescent="0.3">
      <c r="A436" s="300" t="s">
        <v>28</v>
      </c>
      <c r="B436" s="300" t="s">
        <v>93</v>
      </c>
      <c r="C436" s="302" t="s">
        <v>30</v>
      </c>
      <c r="D436" s="303"/>
    </row>
    <row r="437" spans="1:4" ht="15" thickBot="1" x14ac:dyDescent="0.35">
      <c r="A437" s="301"/>
      <c r="B437" s="301"/>
      <c r="C437" s="304"/>
      <c r="D437" s="30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8" t="s">
        <v>20</v>
      </c>
      <c r="B448" s="35" t="s">
        <v>21</v>
      </c>
      <c r="C448" s="290" t="s">
        <v>43</v>
      </c>
      <c r="D448" s="291"/>
    </row>
    <row r="449" spans="1:4" ht="15" thickBot="1" x14ac:dyDescent="0.35">
      <c r="A449" s="36" t="s">
        <v>22</v>
      </c>
      <c r="B449" s="33" t="s">
        <v>23</v>
      </c>
      <c r="C449" s="292" t="s">
        <v>42</v>
      </c>
      <c r="D449" s="293"/>
    </row>
  </sheetData>
  <mergeCells count="63">
    <mergeCell ref="C448:D448"/>
    <mergeCell ref="C449:D449"/>
    <mergeCell ref="A405:D405"/>
    <mergeCell ref="A410:D410"/>
    <mergeCell ref="A436:A437"/>
    <mergeCell ref="B436:B437"/>
    <mergeCell ref="C436:D437"/>
    <mergeCell ref="C348:D348"/>
    <mergeCell ref="C349:D349"/>
    <mergeCell ref="A305:D305"/>
    <mergeCell ref="A310:D310"/>
    <mergeCell ref="A336:A337"/>
    <mergeCell ref="B336:B337"/>
    <mergeCell ref="C336:D337"/>
    <mergeCell ref="C298:D298"/>
    <mergeCell ref="C299:D299"/>
    <mergeCell ref="A255:D255"/>
    <mergeCell ref="A260:D260"/>
    <mergeCell ref="A286:A287"/>
    <mergeCell ref="B286:B287"/>
    <mergeCell ref="C286:D287"/>
    <mergeCell ref="C148:D148"/>
    <mergeCell ref="C149:D149"/>
    <mergeCell ref="A105:D105"/>
    <mergeCell ref="A110:D110"/>
    <mergeCell ref="A136:A137"/>
    <mergeCell ref="B136:B137"/>
    <mergeCell ref="C136:D137"/>
    <mergeCell ref="C98:D98"/>
    <mergeCell ref="C99:D99"/>
    <mergeCell ref="A55:D55"/>
    <mergeCell ref="A60:D60"/>
    <mergeCell ref="A86:A87"/>
    <mergeCell ref="B86:B87"/>
    <mergeCell ref="C86:D87"/>
    <mergeCell ref="C46:D46"/>
    <mergeCell ref="C47:D47"/>
    <mergeCell ref="A3:D3"/>
    <mergeCell ref="A8:D8"/>
    <mergeCell ref="A34:A35"/>
    <mergeCell ref="B34:B35"/>
    <mergeCell ref="C34:D35"/>
    <mergeCell ref="C198:D198"/>
    <mergeCell ref="C199:D199"/>
    <mergeCell ref="A155:D155"/>
    <mergeCell ref="A160:D160"/>
    <mergeCell ref="A186:A187"/>
    <mergeCell ref="B186:B187"/>
    <mergeCell ref="C186:D187"/>
    <mergeCell ref="C248:D248"/>
    <mergeCell ref="C249:D249"/>
    <mergeCell ref="A205:D205"/>
    <mergeCell ref="A210:D210"/>
    <mergeCell ref="A236:A237"/>
    <mergeCell ref="B236:B237"/>
    <mergeCell ref="C236:D237"/>
    <mergeCell ref="C398:D398"/>
    <mergeCell ref="C399:D399"/>
    <mergeCell ref="A355:D355"/>
    <mergeCell ref="A360:D360"/>
    <mergeCell ref="A386:A387"/>
    <mergeCell ref="B386:B387"/>
    <mergeCell ref="C386:D387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2:E449"/>
  <sheetViews>
    <sheetView topLeftCell="A385" zoomScale="90" zoomScaleNormal="90" workbookViewId="0">
      <selection activeCell="C449" sqref="A405:D449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7" customWidth="1"/>
    <col min="5" max="5" width="32.109375" customWidth="1"/>
    <col min="6" max="7" width="11.5546875" customWidth="1"/>
  </cols>
  <sheetData>
    <row r="2" spans="1:4" ht="15" thickBot="1" x14ac:dyDescent="0.35"/>
    <row r="3" spans="1:4" ht="25.2" x14ac:dyDescent="0.3">
      <c r="A3" s="294"/>
      <c r="B3" s="295"/>
      <c r="C3" s="295"/>
      <c r="D3" s="296"/>
    </row>
    <row r="4" spans="1:4" x14ac:dyDescent="0.3">
      <c r="A4" s="31"/>
      <c r="B4" s="48"/>
      <c r="C4" s="2"/>
      <c r="D4" s="30"/>
    </row>
    <row r="5" spans="1:4" x14ac:dyDescent="0.3">
      <c r="A5" s="31"/>
      <c r="B5" s="49"/>
      <c r="C5" s="2"/>
      <c r="D5" s="30"/>
    </row>
    <row r="6" spans="1:4" x14ac:dyDescent="0.3">
      <c r="A6" s="31"/>
      <c r="B6" s="49"/>
      <c r="C6" s="2"/>
      <c r="D6" s="30"/>
    </row>
    <row r="7" spans="1:4" ht="15" thickBot="1" x14ac:dyDescent="0.35">
      <c r="A7" s="31"/>
      <c r="B7" s="2"/>
      <c r="C7" s="2"/>
      <c r="D7" s="30"/>
    </row>
    <row r="8" spans="1:4" ht="25.8" thickBot="1" x14ac:dyDescent="0.35">
      <c r="A8" s="297" t="s">
        <v>0</v>
      </c>
      <c r="B8" s="298"/>
      <c r="C8" s="298"/>
      <c r="D8" s="299"/>
    </row>
    <row r="9" spans="1:4" ht="25.2" x14ac:dyDescent="0.3">
      <c r="A9" s="52"/>
      <c r="B9" s="53"/>
      <c r="C9" s="53"/>
      <c r="D9" s="54"/>
    </row>
    <row r="10" spans="1:4" x14ac:dyDescent="0.3">
      <c r="A10" s="11" t="s">
        <v>1</v>
      </c>
      <c r="B10" s="3" t="s">
        <v>44</v>
      </c>
      <c r="C10" s="3"/>
      <c r="D10" s="12"/>
    </row>
    <row r="11" spans="1:4" x14ac:dyDescent="0.3">
      <c r="A11" s="11" t="s">
        <v>2</v>
      </c>
      <c r="B11" s="55">
        <v>2200496376</v>
      </c>
      <c r="C11" s="4"/>
      <c r="D11" s="13"/>
    </row>
    <row r="12" spans="1:4" x14ac:dyDescent="0.3">
      <c r="A12" s="11" t="s">
        <v>3</v>
      </c>
      <c r="B12" s="3" t="s">
        <v>45</v>
      </c>
      <c r="C12" s="4"/>
      <c r="D12" s="14"/>
    </row>
    <row r="13" spans="1:4" x14ac:dyDescent="0.3">
      <c r="A13" s="11" t="s">
        <v>26</v>
      </c>
      <c r="B13" s="3" t="s">
        <v>25</v>
      </c>
      <c r="C13" s="4"/>
      <c r="D13" s="15"/>
    </row>
    <row r="14" spans="1:4" x14ac:dyDescent="0.3">
      <c r="A14" s="11" t="s">
        <v>99</v>
      </c>
      <c r="B14" s="55">
        <v>2022</v>
      </c>
      <c r="C14" s="4"/>
      <c r="D14" s="15"/>
    </row>
    <row r="15" spans="1:4" x14ac:dyDescent="0.3">
      <c r="A15" s="16"/>
      <c r="B15" s="5"/>
      <c r="C15" s="5"/>
      <c r="D15" s="17"/>
    </row>
    <row r="16" spans="1:4" x14ac:dyDescent="0.3">
      <c r="A16" s="39" t="s">
        <v>94</v>
      </c>
      <c r="B16" s="40"/>
      <c r="C16" s="41" t="s">
        <v>5</v>
      </c>
      <c r="D16" s="42" t="s">
        <v>6</v>
      </c>
    </row>
    <row r="17" spans="1:4" x14ac:dyDescent="0.3">
      <c r="A17" s="18"/>
      <c r="B17" s="6"/>
      <c r="C17" s="7"/>
      <c r="D17" s="19"/>
    </row>
    <row r="18" spans="1:4" x14ac:dyDescent="0.3">
      <c r="A18" s="26" t="s">
        <v>16</v>
      </c>
      <c r="B18" s="27"/>
      <c r="C18" s="28">
        <v>536</v>
      </c>
      <c r="D18" s="29"/>
    </row>
    <row r="19" spans="1:4" ht="24" x14ac:dyDescent="0.3">
      <c r="A19" s="26" t="s">
        <v>105</v>
      </c>
      <c r="B19" s="27"/>
      <c r="C19" s="28"/>
      <c r="D19" s="29"/>
    </row>
    <row r="20" spans="1:4" x14ac:dyDescent="0.3">
      <c r="A20" s="26" t="s">
        <v>8</v>
      </c>
      <c r="B20" s="27"/>
      <c r="C20" s="28"/>
      <c r="D20" s="29"/>
    </row>
    <row r="21" spans="1:4" x14ac:dyDescent="0.3">
      <c r="A21" s="26" t="s">
        <v>9</v>
      </c>
      <c r="B21" s="27"/>
      <c r="C21" s="28"/>
      <c r="D21" s="29"/>
    </row>
    <row r="22" spans="1:4" x14ac:dyDescent="0.3">
      <c r="A22" s="26"/>
      <c r="B22" s="27" t="s">
        <v>10</v>
      </c>
      <c r="C22" s="28"/>
      <c r="D22" s="29">
        <f>C18*11.45%</f>
        <v>61.371999999999993</v>
      </c>
    </row>
    <row r="23" spans="1:4" x14ac:dyDescent="0.3">
      <c r="A23" s="26"/>
      <c r="B23" s="27" t="s">
        <v>11</v>
      </c>
      <c r="C23" s="28"/>
      <c r="D23" s="29"/>
    </row>
    <row r="24" spans="1:4" x14ac:dyDescent="0.3">
      <c r="A24" s="26"/>
      <c r="B24" s="27" t="s">
        <v>55</v>
      </c>
      <c r="C24" s="28"/>
      <c r="D24" s="29">
        <v>268</v>
      </c>
    </row>
    <row r="25" spans="1:4" x14ac:dyDescent="0.3">
      <c r="A25" s="26"/>
      <c r="B25" s="27" t="s">
        <v>18</v>
      </c>
      <c r="C25" s="28"/>
      <c r="D25" s="29"/>
    </row>
    <row r="26" spans="1:4" x14ac:dyDescent="0.3">
      <c r="A26" s="26"/>
      <c r="B26" s="27"/>
      <c r="C26" s="28"/>
      <c r="D26" s="29"/>
    </row>
    <row r="27" spans="1:4" x14ac:dyDescent="0.3">
      <c r="A27" s="21"/>
      <c r="B27" s="8"/>
      <c r="C27" s="1"/>
      <c r="D27" s="20"/>
    </row>
    <row r="28" spans="1:4" x14ac:dyDescent="0.3">
      <c r="A28" s="43"/>
      <c r="B28" s="44" t="s">
        <v>12</v>
      </c>
      <c r="C28" s="46">
        <f>SUM(C18:C27)</f>
        <v>536</v>
      </c>
      <c r="D28" s="50">
        <f>SUM(D18:D27)</f>
        <v>329.37200000000001</v>
      </c>
    </row>
    <row r="29" spans="1:4" x14ac:dyDescent="0.3">
      <c r="A29" s="21"/>
      <c r="B29" s="3"/>
      <c r="C29" s="3"/>
      <c r="D29" s="22"/>
    </row>
    <row r="30" spans="1:4" ht="28.2" x14ac:dyDescent="0.3">
      <c r="A30" s="21"/>
      <c r="B30" s="45"/>
      <c r="C30" s="47" t="s">
        <v>13</v>
      </c>
      <c r="D30" s="51">
        <f>+C28-D28</f>
        <v>206.62799999999999</v>
      </c>
    </row>
    <row r="31" spans="1:4" x14ac:dyDescent="0.3">
      <c r="A31" s="21"/>
      <c r="B31" s="3"/>
      <c r="C31" s="3"/>
      <c r="D31" s="22"/>
    </row>
    <row r="32" spans="1:4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47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46</v>
      </c>
      <c r="D47" s="293"/>
    </row>
    <row r="54" spans="1:4" ht="15" thickBot="1" x14ac:dyDescent="0.35"/>
    <row r="55" spans="1:4" ht="25.2" x14ac:dyDescent="0.3">
      <c r="A55" s="294"/>
      <c r="B55" s="295"/>
      <c r="C55" s="295"/>
      <c r="D55" s="296"/>
    </row>
    <row r="56" spans="1:4" x14ac:dyDescent="0.3">
      <c r="A56" s="31"/>
      <c r="B56" s="48"/>
      <c r="C56" s="2"/>
      <c r="D56" s="30"/>
    </row>
    <row r="57" spans="1:4" x14ac:dyDescent="0.3">
      <c r="A57" s="31"/>
      <c r="B57" s="49"/>
      <c r="C57" s="2"/>
      <c r="D57" s="30"/>
    </row>
    <row r="58" spans="1:4" x14ac:dyDescent="0.3">
      <c r="A58" s="31"/>
      <c r="B58" s="49"/>
      <c r="C58" s="2"/>
      <c r="D58" s="30"/>
    </row>
    <row r="59" spans="1:4" ht="15" thickBot="1" x14ac:dyDescent="0.35">
      <c r="A59" s="31"/>
      <c r="B59" s="2"/>
      <c r="C59" s="2"/>
      <c r="D59" s="30"/>
    </row>
    <row r="60" spans="1:4" ht="25.8" thickBot="1" x14ac:dyDescent="0.35">
      <c r="A60" s="297" t="s">
        <v>0</v>
      </c>
      <c r="B60" s="298"/>
      <c r="C60" s="298"/>
      <c r="D60" s="299"/>
    </row>
    <row r="61" spans="1:4" ht="25.2" x14ac:dyDescent="0.3">
      <c r="A61" s="52"/>
      <c r="B61" s="53"/>
      <c r="C61" s="53"/>
      <c r="D61" s="54"/>
    </row>
    <row r="62" spans="1:4" x14ac:dyDescent="0.3">
      <c r="A62" s="11" t="s">
        <v>1</v>
      </c>
      <c r="B62" s="3" t="s">
        <v>44</v>
      </c>
      <c r="C62" s="3"/>
      <c r="D62" s="12"/>
    </row>
    <row r="63" spans="1:4" x14ac:dyDescent="0.3">
      <c r="A63" s="11" t="s">
        <v>2</v>
      </c>
      <c r="B63" s="55">
        <v>2200496376</v>
      </c>
      <c r="C63" s="4"/>
      <c r="D63" s="13"/>
    </row>
    <row r="64" spans="1:4" x14ac:dyDescent="0.3">
      <c r="A64" s="11" t="s">
        <v>3</v>
      </c>
      <c r="B64" s="3" t="s">
        <v>45</v>
      </c>
      <c r="C64" s="4"/>
      <c r="D64" s="14"/>
    </row>
    <row r="65" spans="1:4" x14ac:dyDescent="0.3">
      <c r="A65" s="11" t="s">
        <v>26</v>
      </c>
      <c r="B65" s="3" t="s">
        <v>112</v>
      </c>
      <c r="C65" s="4"/>
      <c r="D65" s="15"/>
    </row>
    <row r="66" spans="1:4" x14ac:dyDescent="0.3">
      <c r="A66" s="11" t="s">
        <v>99</v>
      </c>
      <c r="B66" s="55">
        <v>2022</v>
      </c>
      <c r="C66" s="4"/>
      <c r="D66" s="15"/>
    </row>
    <row r="67" spans="1:4" x14ac:dyDescent="0.3">
      <c r="A67" s="16"/>
      <c r="B67" s="5"/>
      <c r="C67" s="5"/>
      <c r="D67" s="17"/>
    </row>
    <row r="68" spans="1:4" x14ac:dyDescent="0.3">
      <c r="A68" s="39" t="s">
        <v>94</v>
      </c>
      <c r="B68" s="40"/>
      <c r="C68" s="41" t="s">
        <v>5</v>
      </c>
      <c r="D68" s="42" t="s">
        <v>6</v>
      </c>
    </row>
    <row r="69" spans="1:4" x14ac:dyDescent="0.3">
      <c r="A69" s="18"/>
      <c r="B69" s="6"/>
      <c r="C69" s="7"/>
      <c r="D69" s="19"/>
    </row>
    <row r="70" spans="1:4" x14ac:dyDescent="0.3">
      <c r="A70" s="26" t="s">
        <v>16</v>
      </c>
      <c r="B70" s="27"/>
      <c r="C70" s="28">
        <v>536</v>
      </c>
      <c r="D70" s="29"/>
    </row>
    <row r="71" spans="1:4" ht="24" x14ac:dyDescent="0.3">
      <c r="A71" s="26" t="s">
        <v>105</v>
      </c>
      <c r="B71" s="27"/>
      <c r="C71" s="28"/>
      <c r="D71" s="29"/>
    </row>
    <row r="72" spans="1:4" x14ac:dyDescent="0.3">
      <c r="A72" s="26" t="s">
        <v>8</v>
      </c>
      <c r="B72" s="27"/>
      <c r="C72" s="28"/>
      <c r="D72" s="29"/>
    </row>
    <row r="73" spans="1:4" x14ac:dyDescent="0.3">
      <c r="A73" s="26" t="s">
        <v>9</v>
      </c>
      <c r="B73" s="27"/>
      <c r="C73" s="28"/>
      <c r="D73" s="29"/>
    </row>
    <row r="74" spans="1:4" x14ac:dyDescent="0.3">
      <c r="A74" s="26"/>
      <c r="B74" s="27" t="s">
        <v>10</v>
      </c>
      <c r="C74" s="28"/>
      <c r="D74" s="29">
        <f>C70*11.45%</f>
        <v>61.371999999999993</v>
      </c>
    </row>
    <row r="75" spans="1:4" x14ac:dyDescent="0.3">
      <c r="A75" s="26"/>
      <c r="B75" s="27" t="s">
        <v>11</v>
      </c>
      <c r="C75" s="28"/>
      <c r="D75" s="29"/>
    </row>
    <row r="76" spans="1:4" x14ac:dyDescent="0.3">
      <c r="A76" s="26"/>
      <c r="B76" s="27" t="s">
        <v>55</v>
      </c>
      <c r="C76" s="28"/>
      <c r="D76" s="29">
        <v>268</v>
      </c>
    </row>
    <row r="77" spans="1:4" x14ac:dyDescent="0.3">
      <c r="A77" s="26"/>
      <c r="B77" s="27" t="s">
        <v>18</v>
      </c>
      <c r="C77" s="28"/>
      <c r="D77" s="29"/>
    </row>
    <row r="78" spans="1:4" x14ac:dyDescent="0.3">
      <c r="A78" s="26"/>
      <c r="B78" s="27"/>
      <c r="C78" s="28"/>
      <c r="D78" s="29"/>
    </row>
    <row r="79" spans="1:4" x14ac:dyDescent="0.3">
      <c r="A79" s="21"/>
      <c r="B79" s="8"/>
      <c r="C79" s="1"/>
      <c r="D79" s="20"/>
    </row>
    <row r="80" spans="1:4" x14ac:dyDescent="0.3">
      <c r="A80" s="43"/>
      <c r="B80" s="44" t="s">
        <v>12</v>
      </c>
      <c r="C80" s="46">
        <f>SUM(C70:C79)</f>
        <v>536</v>
      </c>
      <c r="D80" s="50">
        <f>SUM(D70:D79)</f>
        <v>329.37200000000001</v>
      </c>
    </row>
    <row r="81" spans="1:4" x14ac:dyDescent="0.3">
      <c r="A81" s="21"/>
      <c r="B81" s="3"/>
      <c r="C81" s="3"/>
      <c r="D81" s="22"/>
    </row>
    <row r="82" spans="1:4" ht="28.2" x14ac:dyDescent="0.3">
      <c r="A82" s="21"/>
      <c r="B82" s="45"/>
      <c r="C82" s="47" t="s">
        <v>13</v>
      </c>
      <c r="D82" s="51">
        <f>+C80-D80</f>
        <v>206.62799999999999</v>
      </c>
    </row>
    <row r="83" spans="1:4" x14ac:dyDescent="0.3">
      <c r="A83" s="21"/>
      <c r="B83" s="3"/>
      <c r="C83" s="3"/>
      <c r="D83" s="22"/>
    </row>
    <row r="84" spans="1:4" x14ac:dyDescent="0.3">
      <c r="A84" s="23"/>
      <c r="B84" s="4" t="s">
        <v>14</v>
      </c>
      <c r="C84" s="2"/>
      <c r="D84" s="24"/>
    </row>
    <row r="85" spans="1:4" ht="15" thickBot="1" x14ac:dyDescent="0.35">
      <c r="A85" s="23"/>
      <c r="B85" s="9"/>
      <c r="C85" s="9"/>
      <c r="D85" s="24"/>
    </row>
    <row r="86" spans="1:4" x14ac:dyDescent="0.3">
      <c r="A86" s="300" t="s">
        <v>28</v>
      </c>
      <c r="B86" s="300" t="s">
        <v>93</v>
      </c>
      <c r="C86" s="302" t="s">
        <v>30</v>
      </c>
      <c r="D86" s="303"/>
    </row>
    <row r="87" spans="1:4" ht="15" thickBot="1" x14ac:dyDescent="0.35">
      <c r="A87" s="301"/>
      <c r="B87" s="301"/>
      <c r="C87" s="304"/>
      <c r="D87" s="30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8" t="s">
        <v>20</v>
      </c>
      <c r="B98" s="35" t="s">
        <v>21</v>
      </c>
      <c r="C98" s="290" t="s">
        <v>47</v>
      </c>
      <c r="D98" s="291"/>
    </row>
    <row r="99" spans="1:4" ht="15" thickBot="1" x14ac:dyDescent="0.35">
      <c r="A99" s="36" t="s">
        <v>22</v>
      </c>
      <c r="B99" s="33" t="s">
        <v>23</v>
      </c>
      <c r="C99" s="292" t="s">
        <v>46</v>
      </c>
      <c r="D99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44</v>
      </c>
      <c r="C112" s="3"/>
      <c r="D112" s="12"/>
    </row>
    <row r="113" spans="1:4" x14ac:dyDescent="0.3">
      <c r="A113" s="11" t="s">
        <v>2</v>
      </c>
      <c r="B113" s="55">
        <v>2200496376</v>
      </c>
      <c r="C113" s="4"/>
      <c r="D113" s="13"/>
    </row>
    <row r="114" spans="1:4" x14ac:dyDescent="0.3">
      <c r="A114" s="11" t="s">
        <v>3</v>
      </c>
      <c r="B114" s="3" t="s">
        <v>45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536</v>
      </c>
      <c r="D120" s="29"/>
    </row>
    <row r="121" spans="1:4" ht="24" x14ac:dyDescent="0.3">
      <c r="A121" s="26" t="s">
        <v>105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61.371999999999993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>
        <v>268</v>
      </c>
    </row>
    <row r="127" spans="1:4" x14ac:dyDescent="0.3">
      <c r="A127" s="26"/>
      <c r="B127" s="27" t="s">
        <v>18</v>
      </c>
      <c r="C127" s="28"/>
      <c r="D127" s="29"/>
    </row>
    <row r="128" spans="1:4" x14ac:dyDescent="0.3">
      <c r="A128" s="26"/>
      <c r="B128" s="27"/>
      <c r="C128" s="28"/>
      <c r="D128" s="29"/>
    </row>
    <row r="129" spans="1:4" x14ac:dyDescent="0.3">
      <c r="A129" s="21"/>
      <c r="B129" s="8"/>
      <c r="C129" s="1"/>
      <c r="D129" s="20"/>
    </row>
    <row r="130" spans="1:4" x14ac:dyDescent="0.3">
      <c r="A130" s="43"/>
      <c r="B130" s="44" t="s">
        <v>12</v>
      </c>
      <c r="C130" s="46">
        <f>SUM(C120:C129)</f>
        <v>536</v>
      </c>
      <c r="D130" s="50">
        <f>SUM(D120:D129)</f>
        <v>329.37200000000001</v>
      </c>
    </row>
    <row r="131" spans="1:4" x14ac:dyDescent="0.3">
      <c r="A131" s="21"/>
      <c r="B131" s="3"/>
      <c r="C131" s="3"/>
      <c r="D131" s="22"/>
    </row>
    <row r="132" spans="1:4" ht="28.2" x14ac:dyDescent="0.3">
      <c r="A132" s="21"/>
      <c r="B132" s="45"/>
      <c r="C132" s="47" t="s">
        <v>13</v>
      </c>
      <c r="D132" s="51">
        <f>+C130-D130</f>
        <v>206.62799999999999</v>
      </c>
    </row>
    <row r="133" spans="1:4" x14ac:dyDescent="0.3">
      <c r="A133" s="21"/>
      <c r="B133" s="3"/>
      <c r="C133" s="3"/>
      <c r="D133" s="22"/>
    </row>
    <row r="134" spans="1:4" x14ac:dyDescent="0.3">
      <c r="A134" s="23"/>
      <c r="B134" s="4" t="s">
        <v>14</v>
      </c>
      <c r="C134" s="2"/>
      <c r="D134" s="24"/>
    </row>
    <row r="135" spans="1:4" ht="15" thickBot="1" x14ac:dyDescent="0.35">
      <c r="A135" s="23"/>
      <c r="B135" s="9"/>
      <c r="C135" s="9"/>
      <c r="D135" s="24"/>
    </row>
    <row r="136" spans="1:4" x14ac:dyDescent="0.3">
      <c r="A136" s="300" t="s">
        <v>28</v>
      </c>
      <c r="B136" s="300" t="s">
        <v>93</v>
      </c>
      <c r="C136" s="302" t="s">
        <v>30</v>
      </c>
      <c r="D136" s="303"/>
    </row>
    <row r="137" spans="1:4" ht="15" thickBot="1" x14ac:dyDescent="0.35">
      <c r="A137" s="301"/>
      <c r="B137" s="301"/>
      <c r="C137" s="304"/>
      <c r="D137" s="305"/>
    </row>
    <row r="138" spans="1:4" x14ac:dyDescent="0.3">
      <c r="A138" s="37"/>
      <c r="B138" s="34"/>
      <c r="C138" s="32"/>
      <c r="D138" s="2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8" t="s">
        <v>20</v>
      </c>
      <c r="B148" s="35" t="s">
        <v>21</v>
      </c>
      <c r="C148" s="290" t="s">
        <v>47</v>
      </c>
      <c r="D148" s="291"/>
    </row>
    <row r="149" spans="1:4" ht="15" thickBot="1" x14ac:dyDescent="0.35">
      <c r="A149" s="36" t="s">
        <v>22</v>
      </c>
      <c r="B149" s="33" t="s">
        <v>23</v>
      </c>
      <c r="C149" s="292" t="s">
        <v>46</v>
      </c>
      <c r="D149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44</v>
      </c>
      <c r="C162" s="3"/>
      <c r="D162" s="12"/>
    </row>
    <row r="163" spans="1:4" x14ac:dyDescent="0.3">
      <c r="A163" s="11" t="s">
        <v>2</v>
      </c>
      <c r="B163" s="55">
        <v>2200496376</v>
      </c>
      <c r="C163" s="4"/>
      <c r="D163" s="13"/>
    </row>
    <row r="164" spans="1:4" x14ac:dyDescent="0.3">
      <c r="A164" s="11" t="s">
        <v>3</v>
      </c>
      <c r="B164" s="3" t="s">
        <v>45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536</v>
      </c>
      <c r="D170" s="29"/>
    </row>
    <row r="171" spans="1:4" ht="24" x14ac:dyDescent="0.3">
      <c r="A171" s="26" t="s">
        <v>105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10</v>
      </c>
      <c r="C174" s="28"/>
      <c r="D174" s="29">
        <f>C170*11.45%</f>
        <v>61.371999999999993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55</v>
      </c>
      <c r="C176" s="28"/>
      <c r="D176" s="29">
        <v>268</v>
      </c>
    </row>
    <row r="177" spans="1:4" x14ac:dyDescent="0.3">
      <c r="A177" s="26"/>
      <c r="B177" s="27" t="s">
        <v>18</v>
      </c>
      <c r="C177" s="28"/>
      <c r="D177" s="29">
        <v>73.5</v>
      </c>
    </row>
    <row r="178" spans="1:4" x14ac:dyDescent="0.3">
      <c r="A178" s="26"/>
      <c r="B178" s="27"/>
      <c r="C178" s="28"/>
      <c r="D178" s="29"/>
    </row>
    <row r="179" spans="1:4" x14ac:dyDescent="0.3">
      <c r="A179" s="21"/>
      <c r="B179" s="8"/>
      <c r="C179" s="1"/>
      <c r="D179" s="20"/>
    </row>
    <row r="180" spans="1:4" x14ac:dyDescent="0.3">
      <c r="A180" s="43"/>
      <c r="B180" s="44" t="s">
        <v>12</v>
      </c>
      <c r="C180" s="46">
        <f>SUM(C170:C179)</f>
        <v>536</v>
      </c>
      <c r="D180" s="50">
        <f>SUM(D170:D179)</f>
        <v>402.87200000000001</v>
      </c>
    </row>
    <row r="181" spans="1:4" x14ac:dyDescent="0.3">
      <c r="A181" s="21"/>
      <c r="B181" s="3"/>
      <c r="C181" s="3"/>
      <c r="D181" s="22"/>
    </row>
    <row r="182" spans="1:4" ht="28.2" x14ac:dyDescent="0.3">
      <c r="A182" s="21"/>
      <c r="B182" s="45"/>
      <c r="C182" s="47" t="s">
        <v>13</v>
      </c>
      <c r="D182" s="51">
        <f>+C180-D180</f>
        <v>133.12799999999999</v>
      </c>
    </row>
    <row r="183" spans="1:4" x14ac:dyDescent="0.3">
      <c r="A183" s="21"/>
      <c r="B183" s="3"/>
      <c r="C183" s="3"/>
      <c r="D183" s="22"/>
    </row>
    <row r="184" spans="1:4" x14ac:dyDescent="0.3">
      <c r="A184" s="23"/>
      <c r="B184" s="4" t="s">
        <v>14</v>
      </c>
      <c r="C184" s="2"/>
      <c r="D184" s="24"/>
    </row>
    <row r="185" spans="1:4" ht="15" thickBot="1" x14ac:dyDescent="0.35">
      <c r="A185" s="23"/>
      <c r="B185" s="9"/>
      <c r="C185" s="9"/>
      <c r="D185" s="24"/>
    </row>
    <row r="186" spans="1:4" x14ac:dyDescent="0.3">
      <c r="A186" s="300" t="s">
        <v>28</v>
      </c>
      <c r="B186" s="300" t="s">
        <v>93</v>
      </c>
      <c r="C186" s="302" t="s">
        <v>30</v>
      </c>
      <c r="D186" s="303"/>
    </row>
    <row r="187" spans="1:4" ht="15" thickBot="1" x14ac:dyDescent="0.35">
      <c r="A187" s="301"/>
      <c r="B187" s="301"/>
      <c r="C187" s="304"/>
      <c r="D187" s="305"/>
    </row>
    <row r="188" spans="1:4" x14ac:dyDescent="0.3">
      <c r="A188" s="37"/>
      <c r="B188" s="34"/>
      <c r="C188" s="32"/>
      <c r="D188" s="2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8" t="s">
        <v>20</v>
      </c>
      <c r="B198" s="35" t="s">
        <v>21</v>
      </c>
      <c r="C198" s="290" t="s">
        <v>47</v>
      </c>
      <c r="D198" s="291"/>
    </row>
    <row r="199" spans="1:4" ht="15" thickBot="1" x14ac:dyDescent="0.35">
      <c r="A199" s="36" t="s">
        <v>22</v>
      </c>
      <c r="B199" s="33" t="s">
        <v>23</v>
      </c>
      <c r="C199" s="292" t="s">
        <v>46</v>
      </c>
      <c r="D199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44</v>
      </c>
      <c r="C212" s="3"/>
      <c r="D212" s="12"/>
    </row>
    <row r="213" spans="1:4" x14ac:dyDescent="0.3">
      <c r="A213" s="11" t="s">
        <v>2</v>
      </c>
      <c r="B213" s="55">
        <v>2200496376</v>
      </c>
      <c r="C213" s="4"/>
      <c r="D213" s="13"/>
    </row>
    <row r="214" spans="1:4" x14ac:dyDescent="0.3">
      <c r="A214" s="11" t="s">
        <v>3</v>
      </c>
      <c r="B214" s="3" t="s">
        <v>45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536</v>
      </c>
      <c r="D220" s="29"/>
    </row>
    <row r="221" spans="1:4" ht="24" x14ac:dyDescent="0.3">
      <c r="A221" s="26" t="s">
        <v>105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61.371999999999993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55</v>
      </c>
      <c r="C226" s="28"/>
      <c r="D226" s="29">
        <v>268</v>
      </c>
    </row>
    <row r="227" spans="1:4" x14ac:dyDescent="0.3">
      <c r="A227" s="26"/>
      <c r="B227" s="27" t="s">
        <v>18</v>
      </c>
      <c r="C227" s="28"/>
      <c r="D227" s="29"/>
    </row>
    <row r="228" spans="1:4" x14ac:dyDescent="0.3">
      <c r="A228" s="26"/>
      <c r="B228" s="27"/>
      <c r="C228" s="28"/>
      <c r="D228" s="29"/>
    </row>
    <row r="229" spans="1:4" x14ac:dyDescent="0.3">
      <c r="A229" s="21"/>
      <c r="B229" s="8"/>
      <c r="C229" s="1"/>
      <c r="D229" s="20"/>
    </row>
    <row r="230" spans="1:4" x14ac:dyDescent="0.3">
      <c r="A230" s="43"/>
      <c r="B230" s="44" t="s">
        <v>12</v>
      </c>
      <c r="C230" s="46">
        <f>SUM(C220:C229)</f>
        <v>536</v>
      </c>
      <c r="D230" s="50">
        <f>SUM(D220:D229)</f>
        <v>329.37200000000001</v>
      </c>
    </row>
    <row r="231" spans="1:4" x14ac:dyDescent="0.3">
      <c r="A231" s="21"/>
      <c r="B231" s="3"/>
      <c r="C231" s="3"/>
      <c r="D231" s="22"/>
    </row>
    <row r="232" spans="1:4" ht="28.2" x14ac:dyDescent="0.3">
      <c r="A232" s="21"/>
      <c r="B232" s="45"/>
      <c r="C232" s="47" t="s">
        <v>13</v>
      </c>
      <c r="D232" s="51">
        <f>+C230-D230</f>
        <v>206.62799999999999</v>
      </c>
    </row>
    <row r="233" spans="1:4" x14ac:dyDescent="0.3">
      <c r="A233" s="21"/>
      <c r="B233" s="3"/>
      <c r="C233" s="3"/>
      <c r="D233" s="22"/>
    </row>
    <row r="234" spans="1:4" x14ac:dyDescent="0.3">
      <c r="A234" s="23"/>
      <c r="B234" s="4" t="s">
        <v>14</v>
      </c>
      <c r="C234" s="2"/>
      <c r="D234" s="24"/>
    </row>
    <row r="235" spans="1:4" ht="15" thickBot="1" x14ac:dyDescent="0.35">
      <c r="A235" s="23"/>
      <c r="B235" s="9"/>
      <c r="C235" s="9"/>
      <c r="D235" s="24"/>
    </row>
    <row r="236" spans="1:4" x14ac:dyDescent="0.3">
      <c r="A236" s="300" t="s">
        <v>28</v>
      </c>
      <c r="B236" s="300" t="s">
        <v>93</v>
      </c>
      <c r="C236" s="302" t="s">
        <v>30</v>
      </c>
      <c r="D236" s="303"/>
    </row>
    <row r="237" spans="1:4" ht="15" thickBot="1" x14ac:dyDescent="0.35">
      <c r="A237" s="301"/>
      <c r="B237" s="301"/>
      <c r="C237" s="304"/>
      <c r="D237" s="305"/>
    </row>
    <row r="238" spans="1:4" x14ac:dyDescent="0.3">
      <c r="A238" s="37"/>
      <c r="B238" s="34"/>
      <c r="C238" s="32"/>
      <c r="D238" s="2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8" t="s">
        <v>20</v>
      </c>
      <c r="B248" s="35" t="s">
        <v>21</v>
      </c>
      <c r="C248" s="290" t="s">
        <v>47</v>
      </c>
      <c r="D248" s="291"/>
    </row>
    <row r="249" spans="1:4" ht="15" thickBot="1" x14ac:dyDescent="0.35">
      <c r="A249" s="36" t="s">
        <v>22</v>
      </c>
      <c r="B249" s="33" t="s">
        <v>23</v>
      </c>
      <c r="C249" s="292" t="s">
        <v>46</v>
      </c>
      <c r="D249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44</v>
      </c>
      <c r="C262" s="3"/>
      <c r="D262" s="12"/>
    </row>
    <row r="263" spans="1:4" x14ac:dyDescent="0.3">
      <c r="A263" s="11" t="s">
        <v>2</v>
      </c>
      <c r="B263" s="55">
        <v>2200496376</v>
      </c>
      <c r="C263" s="4"/>
      <c r="D263" s="13"/>
    </row>
    <row r="264" spans="1:4" x14ac:dyDescent="0.3">
      <c r="A264" s="11" t="s">
        <v>3</v>
      </c>
      <c r="B264" s="3" t="s">
        <v>45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536</v>
      </c>
      <c r="D270" s="29"/>
    </row>
    <row r="271" spans="1:4" ht="24" x14ac:dyDescent="0.3">
      <c r="A271" s="26" t="s">
        <v>105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10</v>
      </c>
      <c r="C274" s="28"/>
      <c r="D274" s="29">
        <f>C270*11.45%</f>
        <v>61.371999999999993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55</v>
      </c>
      <c r="C276" s="28"/>
      <c r="D276" s="29">
        <v>268</v>
      </c>
    </row>
    <row r="277" spans="1:4" x14ac:dyDescent="0.3">
      <c r="A277" s="26"/>
      <c r="B277" s="27" t="s">
        <v>18</v>
      </c>
      <c r="C277" s="28"/>
      <c r="D277" s="29">
        <v>158.29</v>
      </c>
    </row>
    <row r="278" spans="1:4" x14ac:dyDescent="0.3">
      <c r="A278" s="26"/>
      <c r="B278" s="27"/>
      <c r="C278" s="28"/>
      <c r="D278" s="29"/>
    </row>
    <row r="279" spans="1:4" x14ac:dyDescent="0.3">
      <c r="A279" s="21"/>
      <c r="B279" s="8"/>
      <c r="C279" s="1"/>
      <c r="D279" s="20"/>
    </row>
    <row r="280" spans="1:4" x14ac:dyDescent="0.3">
      <c r="A280" s="43"/>
      <c r="B280" s="44" t="s">
        <v>12</v>
      </c>
      <c r="C280" s="46">
        <f>SUM(C270:C279)</f>
        <v>536</v>
      </c>
      <c r="D280" s="50">
        <f>SUM(D270:D279)</f>
        <v>487.66200000000003</v>
      </c>
    </row>
    <row r="281" spans="1:4" x14ac:dyDescent="0.3">
      <c r="A281" s="21"/>
      <c r="B281" s="3"/>
      <c r="C281" s="3"/>
      <c r="D281" s="22"/>
    </row>
    <row r="282" spans="1:4" ht="28.2" x14ac:dyDescent="0.3">
      <c r="A282" s="21"/>
      <c r="B282" s="45"/>
      <c r="C282" s="47" t="s">
        <v>13</v>
      </c>
      <c r="D282" s="51">
        <f>+C280-D280</f>
        <v>48.337999999999965</v>
      </c>
    </row>
    <row r="283" spans="1:4" x14ac:dyDescent="0.3">
      <c r="A283" s="21"/>
      <c r="B283" s="3"/>
      <c r="C283" s="3"/>
      <c r="D283" s="22"/>
    </row>
    <row r="284" spans="1:4" x14ac:dyDescent="0.3">
      <c r="A284" s="23"/>
      <c r="B284" s="4" t="s">
        <v>14</v>
      </c>
      <c r="C284" s="2"/>
      <c r="D284" s="24"/>
    </row>
    <row r="285" spans="1:4" ht="15" thickBot="1" x14ac:dyDescent="0.35">
      <c r="A285" s="23"/>
      <c r="B285" s="9"/>
      <c r="C285" s="9"/>
      <c r="D285" s="24"/>
    </row>
    <row r="286" spans="1:4" x14ac:dyDescent="0.3">
      <c r="A286" s="300" t="s">
        <v>28</v>
      </c>
      <c r="B286" s="300" t="s">
        <v>93</v>
      </c>
      <c r="C286" s="302" t="s">
        <v>30</v>
      </c>
      <c r="D286" s="303"/>
    </row>
    <row r="287" spans="1:4" ht="15" thickBot="1" x14ac:dyDescent="0.35">
      <c r="A287" s="301"/>
      <c r="B287" s="301"/>
      <c r="C287" s="304"/>
      <c r="D287" s="305"/>
    </row>
    <row r="288" spans="1:4" x14ac:dyDescent="0.3">
      <c r="A288" s="37"/>
      <c r="B288" s="34"/>
      <c r="C288" s="32"/>
      <c r="D288" s="2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8" t="s">
        <v>20</v>
      </c>
      <c r="B298" s="35" t="s">
        <v>21</v>
      </c>
      <c r="C298" s="290" t="s">
        <v>47</v>
      </c>
      <c r="D298" s="291"/>
    </row>
    <row r="299" spans="1:4" ht="15" thickBot="1" x14ac:dyDescent="0.35">
      <c r="A299" s="36" t="s">
        <v>22</v>
      </c>
      <c r="B299" s="33" t="s">
        <v>23</v>
      </c>
      <c r="C299" s="292" t="s">
        <v>46</v>
      </c>
      <c r="D299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44</v>
      </c>
      <c r="C312" s="3"/>
      <c r="D312" s="12"/>
    </row>
    <row r="313" spans="1:4" x14ac:dyDescent="0.3">
      <c r="A313" s="11" t="s">
        <v>2</v>
      </c>
      <c r="B313" s="55">
        <v>2200496376</v>
      </c>
      <c r="C313" s="4"/>
      <c r="D313" s="13"/>
    </row>
    <row r="314" spans="1:4" x14ac:dyDescent="0.3">
      <c r="A314" s="11" t="s">
        <v>3</v>
      </c>
      <c r="B314" s="3" t="s">
        <v>45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536</v>
      </c>
      <c r="D320" s="29"/>
    </row>
    <row r="321" spans="1:5" ht="24" x14ac:dyDescent="0.3">
      <c r="A321" s="26" t="s">
        <v>105</v>
      </c>
      <c r="B321" s="27"/>
      <c r="C321" s="28"/>
      <c r="D321" s="29"/>
    </row>
    <row r="322" spans="1:5" x14ac:dyDescent="0.3">
      <c r="A322" s="26" t="s">
        <v>8</v>
      </c>
      <c r="B322" s="27"/>
      <c r="C322" s="28"/>
      <c r="D322" s="29"/>
    </row>
    <row r="323" spans="1:5" x14ac:dyDescent="0.3">
      <c r="A323" s="26" t="s">
        <v>9</v>
      </c>
      <c r="B323" s="27"/>
      <c r="C323" s="28"/>
      <c r="D323" s="29"/>
    </row>
    <row r="324" spans="1:5" x14ac:dyDescent="0.3">
      <c r="A324" s="26"/>
      <c r="B324" s="27" t="s">
        <v>10</v>
      </c>
      <c r="C324" s="28"/>
      <c r="D324" s="29">
        <f>C320*11.45%</f>
        <v>61.371999999999993</v>
      </c>
    </row>
    <row r="325" spans="1:5" x14ac:dyDescent="0.3">
      <c r="A325" s="26"/>
      <c r="B325" s="27" t="s">
        <v>11</v>
      </c>
      <c r="C325" s="28"/>
      <c r="D325" s="29"/>
    </row>
    <row r="326" spans="1:5" x14ac:dyDescent="0.3">
      <c r="A326" s="26"/>
      <c r="B326" s="27" t="s">
        <v>55</v>
      </c>
      <c r="C326" s="28"/>
      <c r="D326" s="29">
        <v>230</v>
      </c>
      <c r="E326" s="62" t="s">
        <v>124</v>
      </c>
    </row>
    <row r="327" spans="1:5" x14ac:dyDescent="0.3">
      <c r="A327" s="26"/>
      <c r="B327" s="27" t="s">
        <v>18</v>
      </c>
      <c r="C327" s="28"/>
      <c r="D327" s="29">
        <v>241.62</v>
      </c>
    </row>
    <row r="328" spans="1:5" x14ac:dyDescent="0.3">
      <c r="A328" s="26"/>
      <c r="B328" s="27"/>
      <c r="C328" s="28"/>
      <c r="D328" s="29"/>
    </row>
    <row r="329" spans="1:5" x14ac:dyDescent="0.3">
      <c r="A329" s="21"/>
      <c r="B329" s="8"/>
      <c r="C329" s="1"/>
      <c r="D329" s="20"/>
    </row>
    <row r="330" spans="1:5" x14ac:dyDescent="0.3">
      <c r="A330" s="43"/>
      <c r="B330" s="44" t="s">
        <v>12</v>
      </c>
      <c r="C330" s="46">
        <f>SUM(C320:C329)</f>
        <v>536</v>
      </c>
      <c r="D330" s="50">
        <f>SUM(D320:D329)</f>
        <v>532.99199999999996</v>
      </c>
    </row>
    <row r="331" spans="1:5" x14ac:dyDescent="0.3">
      <c r="A331" s="21"/>
      <c r="B331" s="3"/>
      <c r="C331" s="3"/>
      <c r="D331" s="22"/>
    </row>
    <row r="332" spans="1:5" ht="28.2" x14ac:dyDescent="0.3">
      <c r="A332" s="21"/>
      <c r="B332" s="45"/>
      <c r="C332" s="47" t="s">
        <v>13</v>
      </c>
      <c r="D332" s="51">
        <f>+C330-D330</f>
        <v>3.0080000000000382</v>
      </c>
    </row>
    <row r="333" spans="1:5" x14ac:dyDescent="0.3">
      <c r="A333" s="21"/>
      <c r="B333" s="3"/>
      <c r="C333" s="3"/>
      <c r="D333" s="22"/>
    </row>
    <row r="334" spans="1:5" x14ac:dyDescent="0.3">
      <c r="A334" s="23"/>
      <c r="B334" s="4" t="s">
        <v>14</v>
      </c>
      <c r="C334" s="2"/>
      <c r="D334" s="24"/>
    </row>
    <row r="335" spans="1:5" ht="15" thickBot="1" x14ac:dyDescent="0.35">
      <c r="A335" s="23"/>
      <c r="B335" s="9"/>
      <c r="C335" s="9"/>
      <c r="D335" s="24"/>
    </row>
    <row r="336" spans="1:5" x14ac:dyDescent="0.3">
      <c r="A336" s="300" t="s">
        <v>28</v>
      </c>
      <c r="B336" s="300" t="s">
        <v>93</v>
      </c>
      <c r="C336" s="302" t="s">
        <v>30</v>
      </c>
      <c r="D336" s="303"/>
    </row>
    <row r="337" spans="1:4" ht="15" thickBot="1" x14ac:dyDescent="0.35">
      <c r="A337" s="301"/>
      <c r="B337" s="301"/>
      <c r="C337" s="304"/>
      <c r="D337" s="305"/>
    </row>
    <row r="338" spans="1:4" x14ac:dyDescent="0.3">
      <c r="A338" s="37"/>
      <c r="B338" s="34"/>
      <c r="C338" s="32"/>
      <c r="D338" s="2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8" t="s">
        <v>20</v>
      </c>
      <c r="B348" s="35" t="s">
        <v>21</v>
      </c>
      <c r="C348" s="290" t="s">
        <v>47</v>
      </c>
      <c r="D348" s="291"/>
    </row>
    <row r="349" spans="1:4" ht="15" thickBot="1" x14ac:dyDescent="0.35">
      <c r="A349" s="36" t="s">
        <v>22</v>
      </c>
      <c r="B349" s="33" t="s">
        <v>23</v>
      </c>
      <c r="C349" s="292" t="s">
        <v>46</v>
      </c>
      <c r="D349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44</v>
      </c>
      <c r="C362" s="3"/>
      <c r="D362" s="12"/>
    </row>
    <row r="363" spans="1:4" x14ac:dyDescent="0.3">
      <c r="A363" s="11" t="s">
        <v>2</v>
      </c>
      <c r="B363" s="55">
        <v>2200496376</v>
      </c>
      <c r="C363" s="4"/>
      <c r="D363" s="13"/>
    </row>
    <row r="364" spans="1:4" x14ac:dyDescent="0.3">
      <c r="A364" s="11" t="s">
        <v>3</v>
      </c>
      <c r="B364" s="3" t="s">
        <v>45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ht="24" x14ac:dyDescent="0.3">
      <c r="A371" s="26" t="s">
        <v>105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10</v>
      </c>
      <c r="C374" s="28"/>
      <c r="D374" s="29">
        <f>C370*11.45%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18</v>
      </c>
      <c r="C377" s="28"/>
      <c r="D377" s="29"/>
    </row>
    <row r="378" spans="1:4" x14ac:dyDescent="0.3">
      <c r="A378" s="26"/>
      <c r="B378" s="27"/>
      <c r="C378" s="28"/>
      <c r="D378" s="29"/>
    </row>
    <row r="379" spans="1:4" x14ac:dyDescent="0.3">
      <c r="A379" s="21"/>
      <c r="B379" s="8"/>
      <c r="C379" s="1"/>
      <c r="D379" s="20"/>
    </row>
    <row r="380" spans="1:4" x14ac:dyDescent="0.3">
      <c r="A380" s="43"/>
      <c r="B380" s="44" t="s">
        <v>12</v>
      </c>
      <c r="C380" s="46">
        <f>SUM(C370:C379)</f>
        <v>425</v>
      </c>
      <c r="D380" s="50">
        <f>SUM(D370:D379)</f>
        <v>0</v>
      </c>
    </row>
    <row r="381" spans="1:4" x14ac:dyDescent="0.3">
      <c r="A381" s="21"/>
      <c r="B381" s="3"/>
      <c r="C381" s="3"/>
      <c r="D381" s="22"/>
    </row>
    <row r="382" spans="1:4" ht="28.2" x14ac:dyDescent="0.3">
      <c r="A382" s="21"/>
      <c r="B382" s="45"/>
      <c r="C382" s="47" t="s">
        <v>13</v>
      </c>
      <c r="D382" s="51">
        <f>+C380-D380</f>
        <v>425</v>
      </c>
    </row>
    <row r="383" spans="1:4" x14ac:dyDescent="0.3">
      <c r="A383" s="21"/>
      <c r="B383" s="3"/>
      <c r="C383" s="3"/>
      <c r="D383" s="22"/>
    </row>
    <row r="384" spans="1:4" x14ac:dyDescent="0.3">
      <c r="A384" s="23"/>
      <c r="B384" s="4" t="s">
        <v>14</v>
      </c>
      <c r="C384" s="2"/>
      <c r="D384" s="24"/>
    </row>
    <row r="385" spans="1:4" ht="15" thickBot="1" x14ac:dyDescent="0.35">
      <c r="A385" s="23"/>
      <c r="B385" s="9"/>
      <c r="C385" s="9"/>
      <c r="D385" s="24"/>
    </row>
    <row r="386" spans="1:4" x14ac:dyDescent="0.3">
      <c r="A386" s="300" t="s">
        <v>28</v>
      </c>
      <c r="B386" s="300" t="s">
        <v>93</v>
      </c>
      <c r="C386" s="302" t="s">
        <v>30</v>
      </c>
      <c r="D386" s="303"/>
    </row>
    <row r="387" spans="1:4" ht="15" thickBot="1" x14ac:dyDescent="0.35">
      <c r="A387" s="301"/>
      <c r="B387" s="301"/>
      <c r="C387" s="304"/>
      <c r="D387" s="305"/>
    </row>
    <row r="388" spans="1:4" x14ac:dyDescent="0.3">
      <c r="A388" s="37"/>
      <c r="B388" s="34"/>
      <c r="C388" s="32"/>
      <c r="D388" s="2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8" t="s">
        <v>20</v>
      </c>
      <c r="B398" s="35" t="s">
        <v>21</v>
      </c>
      <c r="C398" s="290" t="s">
        <v>47</v>
      </c>
      <c r="D398" s="291"/>
    </row>
    <row r="399" spans="1:4" ht="15" thickBot="1" x14ac:dyDescent="0.35">
      <c r="A399" s="36" t="s">
        <v>22</v>
      </c>
      <c r="B399" s="33" t="s">
        <v>23</v>
      </c>
      <c r="C399" s="292" t="s">
        <v>46</v>
      </c>
      <c r="D399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44</v>
      </c>
      <c r="C412" s="3"/>
      <c r="D412" s="12"/>
    </row>
    <row r="413" spans="1:4" x14ac:dyDescent="0.3">
      <c r="A413" s="11" t="s">
        <v>2</v>
      </c>
      <c r="B413" s="55">
        <v>2200496376</v>
      </c>
      <c r="C413" s="4"/>
      <c r="D413" s="13"/>
    </row>
    <row r="414" spans="1:4" x14ac:dyDescent="0.3">
      <c r="A414" s="11" t="s">
        <v>3</v>
      </c>
      <c r="B414" s="3" t="s">
        <v>45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5" x14ac:dyDescent="0.3">
      <c r="A417" s="16"/>
      <c r="B417" s="5"/>
      <c r="C417" s="5"/>
      <c r="D417" s="17"/>
    </row>
    <row r="418" spans="1:5" x14ac:dyDescent="0.3">
      <c r="A418" s="39" t="s">
        <v>94</v>
      </c>
      <c r="B418" s="40"/>
      <c r="C418" s="41" t="s">
        <v>5</v>
      </c>
      <c r="D418" s="42" t="s">
        <v>6</v>
      </c>
    </row>
    <row r="419" spans="1:5" x14ac:dyDescent="0.3">
      <c r="A419" s="18"/>
      <c r="B419" s="6"/>
      <c r="C419" s="7"/>
      <c r="D419" s="19"/>
    </row>
    <row r="420" spans="1:5" x14ac:dyDescent="0.3">
      <c r="A420" s="26" t="s">
        <v>16</v>
      </c>
      <c r="B420" s="27"/>
      <c r="C420" s="28">
        <v>536</v>
      </c>
      <c r="D420" s="29"/>
    </row>
    <row r="421" spans="1:5" ht="24" x14ac:dyDescent="0.3">
      <c r="A421" s="26" t="s">
        <v>105</v>
      </c>
      <c r="B421" s="27"/>
      <c r="C421" s="28"/>
      <c r="D421" s="29"/>
    </row>
    <row r="422" spans="1:5" x14ac:dyDescent="0.3">
      <c r="A422" s="26" t="s">
        <v>8</v>
      </c>
      <c r="B422" s="27"/>
      <c r="C422" s="28"/>
      <c r="D422" s="29"/>
    </row>
    <row r="423" spans="1:5" x14ac:dyDescent="0.3">
      <c r="A423" s="26" t="s">
        <v>9</v>
      </c>
      <c r="B423" s="27"/>
      <c r="C423" s="28"/>
      <c r="D423" s="29"/>
    </row>
    <row r="424" spans="1:5" x14ac:dyDescent="0.3">
      <c r="A424" s="26"/>
      <c r="B424" s="27" t="s">
        <v>10</v>
      </c>
      <c r="C424" s="28"/>
      <c r="D424" s="29">
        <f>C420*11.45%</f>
        <v>61.371999999999993</v>
      </c>
    </row>
    <row r="425" spans="1:5" x14ac:dyDescent="0.3">
      <c r="A425" s="26"/>
      <c r="B425" s="27" t="s">
        <v>11</v>
      </c>
      <c r="C425" s="28"/>
      <c r="D425" s="29"/>
    </row>
    <row r="426" spans="1:5" x14ac:dyDescent="0.3">
      <c r="A426" s="26"/>
      <c r="B426" s="27" t="s">
        <v>55</v>
      </c>
      <c r="C426" s="28"/>
      <c r="D426" s="29">
        <v>271</v>
      </c>
      <c r="E426" s="62" t="s">
        <v>135</v>
      </c>
    </row>
    <row r="427" spans="1:5" x14ac:dyDescent="0.3">
      <c r="A427" s="26"/>
      <c r="B427" s="27" t="s">
        <v>18</v>
      </c>
      <c r="C427" s="28"/>
      <c r="D427" s="29">
        <v>201.62</v>
      </c>
    </row>
    <row r="428" spans="1:5" x14ac:dyDescent="0.3">
      <c r="A428" s="26"/>
      <c r="B428" s="27"/>
      <c r="C428" s="28"/>
      <c r="D428" s="29"/>
    </row>
    <row r="429" spans="1:5" x14ac:dyDescent="0.3">
      <c r="A429" s="21"/>
      <c r="B429" s="8"/>
      <c r="C429" s="1"/>
      <c r="D429" s="20"/>
    </row>
    <row r="430" spans="1:5" x14ac:dyDescent="0.3">
      <c r="A430" s="43"/>
      <c r="B430" s="44" t="s">
        <v>12</v>
      </c>
      <c r="C430" s="46">
        <f>SUM(C420:C429)</f>
        <v>536</v>
      </c>
      <c r="D430" s="50">
        <f>SUM(D420:D429)</f>
        <v>533.99199999999996</v>
      </c>
    </row>
    <row r="431" spans="1:5" x14ac:dyDescent="0.3">
      <c r="A431" s="21"/>
      <c r="B431" s="3"/>
      <c r="C431" s="3"/>
      <c r="D431" s="22"/>
    </row>
    <row r="432" spans="1:5" ht="28.2" x14ac:dyDescent="0.3">
      <c r="A432" s="21"/>
      <c r="B432" s="45"/>
      <c r="C432" s="47" t="s">
        <v>13</v>
      </c>
      <c r="D432" s="51">
        <f>+C430-D430</f>
        <v>2.0080000000000382</v>
      </c>
    </row>
    <row r="433" spans="1:4" x14ac:dyDescent="0.3">
      <c r="A433" s="21"/>
      <c r="B433" s="3"/>
      <c r="C433" s="3"/>
      <c r="D433" s="22"/>
    </row>
    <row r="434" spans="1:4" x14ac:dyDescent="0.3">
      <c r="A434" s="23"/>
      <c r="B434" s="4" t="s">
        <v>14</v>
      </c>
      <c r="C434" s="2"/>
      <c r="D434" s="24"/>
    </row>
    <row r="435" spans="1:4" ht="15" thickBot="1" x14ac:dyDescent="0.35">
      <c r="A435" s="23"/>
      <c r="B435" s="9"/>
      <c r="C435" s="9"/>
      <c r="D435" s="24"/>
    </row>
    <row r="436" spans="1:4" x14ac:dyDescent="0.3">
      <c r="A436" s="300" t="s">
        <v>28</v>
      </c>
      <c r="B436" s="300" t="s">
        <v>93</v>
      </c>
      <c r="C436" s="302" t="s">
        <v>30</v>
      </c>
      <c r="D436" s="303"/>
    </row>
    <row r="437" spans="1:4" ht="15" thickBot="1" x14ac:dyDescent="0.35">
      <c r="A437" s="301"/>
      <c r="B437" s="301"/>
      <c r="C437" s="304"/>
      <c r="D437" s="30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8" t="s">
        <v>20</v>
      </c>
      <c r="B448" s="35" t="s">
        <v>21</v>
      </c>
      <c r="C448" s="290" t="s">
        <v>47</v>
      </c>
      <c r="D448" s="291"/>
    </row>
    <row r="449" spans="1:4" ht="15" thickBot="1" x14ac:dyDescent="0.35">
      <c r="A449" s="36" t="s">
        <v>22</v>
      </c>
      <c r="B449" s="33" t="s">
        <v>23</v>
      </c>
      <c r="C449" s="292" t="s">
        <v>46</v>
      </c>
      <c r="D449" s="293"/>
    </row>
  </sheetData>
  <mergeCells count="63">
    <mergeCell ref="C448:D448"/>
    <mergeCell ref="C449:D449"/>
    <mergeCell ref="A405:D405"/>
    <mergeCell ref="A410:D410"/>
    <mergeCell ref="A436:A437"/>
    <mergeCell ref="B436:B437"/>
    <mergeCell ref="C436:D437"/>
    <mergeCell ref="C348:D348"/>
    <mergeCell ref="C349:D349"/>
    <mergeCell ref="A305:D305"/>
    <mergeCell ref="A310:D310"/>
    <mergeCell ref="A336:A337"/>
    <mergeCell ref="B336:B337"/>
    <mergeCell ref="C336:D337"/>
    <mergeCell ref="C298:D298"/>
    <mergeCell ref="C299:D299"/>
    <mergeCell ref="A255:D255"/>
    <mergeCell ref="A260:D260"/>
    <mergeCell ref="A286:A287"/>
    <mergeCell ref="B286:B287"/>
    <mergeCell ref="C286:D287"/>
    <mergeCell ref="C148:D148"/>
    <mergeCell ref="C149:D149"/>
    <mergeCell ref="A105:D105"/>
    <mergeCell ref="A110:D110"/>
    <mergeCell ref="A136:A137"/>
    <mergeCell ref="B136:B137"/>
    <mergeCell ref="C136:D137"/>
    <mergeCell ref="C98:D98"/>
    <mergeCell ref="C99:D99"/>
    <mergeCell ref="A55:D55"/>
    <mergeCell ref="A60:D60"/>
    <mergeCell ref="A86:A87"/>
    <mergeCell ref="B86:B87"/>
    <mergeCell ref="C86:D87"/>
    <mergeCell ref="C46:D46"/>
    <mergeCell ref="C47:D47"/>
    <mergeCell ref="A3:D3"/>
    <mergeCell ref="A8:D8"/>
    <mergeCell ref="A34:A35"/>
    <mergeCell ref="B34:B35"/>
    <mergeCell ref="C34:D35"/>
    <mergeCell ref="C198:D198"/>
    <mergeCell ref="C199:D199"/>
    <mergeCell ref="A155:D155"/>
    <mergeCell ref="A160:D160"/>
    <mergeCell ref="A186:A187"/>
    <mergeCell ref="B186:B187"/>
    <mergeCell ref="C186:D187"/>
    <mergeCell ref="C248:D248"/>
    <mergeCell ref="C249:D249"/>
    <mergeCell ref="A205:D205"/>
    <mergeCell ref="A210:D210"/>
    <mergeCell ref="A236:A237"/>
    <mergeCell ref="B236:B237"/>
    <mergeCell ref="C236:D237"/>
    <mergeCell ref="C398:D398"/>
    <mergeCell ref="C399:D399"/>
    <mergeCell ref="A355:D355"/>
    <mergeCell ref="A360:D360"/>
    <mergeCell ref="A386:A387"/>
    <mergeCell ref="B386:B387"/>
    <mergeCell ref="C386:D387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2:D500"/>
  <sheetViews>
    <sheetView topLeftCell="A391" zoomScale="90" zoomScaleNormal="90" workbookViewId="0">
      <selection activeCell="E474" sqref="E474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2" spans="1:4" ht="15" thickBot="1" x14ac:dyDescent="0.35"/>
    <row r="3" spans="1:4" ht="25.2" x14ac:dyDescent="0.3">
      <c r="A3" s="294"/>
      <c r="B3" s="295"/>
      <c r="C3" s="295"/>
      <c r="D3" s="296"/>
    </row>
    <row r="4" spans="1:4" x14ac:dyDescent="0.3">
      <c r="A4" s="31"/>
      <c r="B4" s="48"/>
      <c r="C4" s="2"/>
      <c r="D4" s="30"/>
    </row>
    <row r="5" spans="1:4" x14ac:dyDescent="0.3">
      <c r="A5" s="31"/>
      <c r="B5" s="49"/>
      <c r="C5" s="2"/>
      <c r="D5" s="30"/>
    </row>
    <row r="6" spans="1:4" x14ac:dyDescent="0.3">
      <c r="A6" s="31"/>
      <c r="B6" s="49"/>
      <c r="C6" s="2"/>
      <c r="D6" s="30"/>
    </row>
    <row r="7" spans="1:4" ht="15" thickBot="1" x14ac:dyDescent="0.35">
      <c r="A7" s="31"/>
      <c r="B7" s="2"/>
      <c r="C7" s="2"/>
      <c r="D7" s="30"/>
    </row>
    <row r="8" spans="1:4" ht="25.8" thickBot="1" x14ac:dyDescent="0.35">
      <c r="A8" s="297" t="s">
        <v>0</v>
      </c>
      <c r="B8" s="298"/>
      <c r="C8" s="298"/>
      <c r="D8" s="299"/>
    </row>
    <row r="9" spans="1:4" ht="25.2" x14ac:dyDescent="0.3">
      <c r="A9" s="52"/>
      <c r="B9" s="53"/>
      <c r="C9" s="53"/>
      <c r="D9" s="54"/>
    </row>
    <row r="10" spans="1:4" x14ac:dyDescent="0.3">
      <c r="A10" s="11" t="s">
        <v>1</v>
      </c>
      <c r="B10" s="3" t="s">
        <v>48</v>
      </c>
      <c r="C10" s="3"/>
      <c r="D10" s="12"/>
    </row>
    <row r="11" spans="1:4" x14ac:dyDescent="0.3">
      <c r="A11" s="11" t="s">
        <v>2</v>
      </c>
      <c r="B11" s="55">
        <v>2200159149</v>
      </c>
      <c r="C11" s="4"/>
      <c r="D11" s="13"/>
    </row>
    <row r="12" spans="1:4" x14ac:dyDescent="0.3">
      <c r="A12" s="11" t="s">
        <v>3</v>
      </c>
      <c r="B12" s="3" t="s">
        <v>49</v>
      </c>
      <c r="C12" s="4"/>
      <c r="D12" s="14"/>
    </row>
    <row r="13" spans="1:4" x14ac:dyDescent="0.3">
      <c r="A13" s="11" t="s">
        <v>26</v>
      </c>
      <c r="B13" s="3" t="s">
        <v>25</v>
      </c>
      <c r="C13" s="4"/>
      <c r="D13" s="15"/>
    </row>
    <row r="14" spans="1:4" x14ac:dyDescent="0.3">
      <c r="A14" s="11" t="s">
        <v>99</v>
      </c>
      <c r="B14" s="55">
        <v>2022</v>
      </c>
      <c r="C14" s="4"/>
      <c r="D14" s="15"/>
    </row>
    <row r="15" spans="1:4" x14ac:dyDescent="0.3">
      <c r="A15" s="16"/>
      <c r="B15" s="5"/>
      <c r="C15" s="5"/>
      <c r="D15" s="17"/>
    </row>
    <row r="16" spans="1:4" x14ac:dyDescent="0.3">
      <c r="A16" s="39" t="s">
        <v>94</v>
      </c>
      <c r="B16" s="40"/>
      <c r="C16" s="41" t="s">
        <v>5</v>
      </c>
      <c r="D16" s="42" t="s">
        <v>6</v>
      </c>
    </row>
    <row r="17" spans="1:4" x14ac:dyDescent="0.3">
      <c r="A17" s="18"/>
      <c r="B17" s="6"/>
      <c r="C17" s="7"/>
      <c r="D17" s="19"/>
    </row>
    <row r="18" spans="1:4" x14ac:dyDescent="0.3">
      <c r="A18" s="26" t="s">
        <v>16</v>
      </c>
      <c r="B18" s="27"/>
      <c r="C18" s="28">
        <v>733</v>
      </c>
      <c r="D18" s="29"/>
    </row>
    <row r="19" spans="1:4" ht="24" x14ac:dyDescent="0.3">
      <c r="A19" s="26" t="s">
        <v>104</v>
      </c>
      <c r="B19" s="27"/>
      <c r="C19" s="28"/>
      <c r="D19" s="29"/>
    </row>
    <row r="20" spans="1:4" x14ac:dyDescent="0.3">
      <c r="A20" s="26" t="s">
        <v>8</v>
      </c>
      <c r="B20" s="27"/>
      <c r="C20" s="28"/>
      <c r="D20" s="29"/>
    </row>
    <row r="21" spans="1:4" x14ac:dyDescent="0.3">
      <c r="A21" s="26" t="s">
        <v>9</v>
      </c>
      <c r="B21" s="27"/>
      <c r="C21" s="28"/>
      <c r="D21" s="29"/>
    </row>
    <row r="22" spans="1:4" x14ac:dyDescent="0.3">
      <c r="A22" s="26"/>
      <c r="B22" s="27" t="s">
        <v>10</v>
      </c>
      <c r="C22" s="28"/>
      <c r="D22" s="29">
        <f>C18*11.45%</f>
        <v>83.9285</v>
      </c>
    </row>
    <row r="23" spans="1:4" x14ac:dyDescent="0.3">
      <c r="A23" s="26"/>
      <c r="B23" s="27" t="s">
        <v>11</v>
      </c>
      <c r="C23" s="28"/>
      <c r="D23" s="29"/>
    </row>
    <row r="24" spans="1:4" x14ac:dyDescent="0.3">
      <c r="A24" s="26"/>
      <c r="B24" s="27" t="s">
        <v>110</v>
      </c>
      <c r="C24" s="28"/>
      <c r="D24" s="29"/>
    </row>
    <row r="25" spans="1:4" x14ac:dyDescent="0.3">
      <c r="A25" s="26"/>
      <c r="B25" s="27" t="s">
        <v>55</v>
      </c>
      <c r="C25" s="28"/>
      <c r="D25" s="29"/>
    </row>
    <row r="26" spans="1:4" x14ac:dyDescent="0.3">
      <c r="A26" s="26"/>
      <c r="B26" s="27"/>
      <c r="C26" s="28"/>
      <c r="D26" s="29"/>
    </row>
    <row r="27" spans="1:4" x14ac:dyDescent="0.3">
      <c r="A27" s="21"/>
      <c r="B27" s="8"/>
      <c r="C27" s="1"/>
      <c r="D27" s="20"/>
    </row>
    <row r="28" spans="1:4" x14ac:dyDescent="0.3">
      <c r="A28" s="43"/>
      <c r="B28" s="44" t="s">
        <v>12</v>
      </c>
      <c r="C28" s="46">
        <f>SUM(C18:C27)</f>
        <v>733</v>
      </c>
      <c r="D28" s="50">
        <f>SUM(D18:D27)</f>
        <v>83.9285</v>
      </c>
    </row>
    <row r="29" spans="1:4" x14ac:dyDescent="0.3">
      <c r="A29" s="21"/>
      <c r="B29" s="3"/>
      <c r="C29" s="3"/>
      <c r="D29" s="22"/>
    </row>
    <row r="30" spans="1:4" ht="28.2" x14ac:dyDescent="0.3">
      <c r="A30" s="21"/>
      <c r="B30" s="45"/>
      <c r="C30" s="47" t="s">
        <v>13</v>
      </c>
      <c r="D30" s="51">
        <f>+C28-D28</f>
        <v>649.07150000000001</v>
      </c>
    </row>
    <row r="31" spans="1:4" x14ac:dyDescent="0.3">
      <c r="A31" s="21"/>
      <c r="B31" s="3"/>
      <c r="C31" s="3"/>
      <c r="D31" s="22"/>
    </row>
    <row r="32" spans="1:4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29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20</v>
      </c>
      <c r="D46" s="291"/>
    </row>
    <row r="47" spans="1:4" ht="21" customHeight="1" thickBot="1" x14ac:dyDescent="0.35">
      <c r="A47" s="36" t="s">
        <v>22</v>
      </c>
      <c r="B47" s="33" t="s">
        <v>23</v>
      </c>
      <c r="C47" s="292" t="s">
        <v>50</v>
      </c>
      <c r="D47" s="306"/>
    </row>
    <row r="48" spans="1:4" ht="21" customHeight="1" x14ac:dyDescent="0.3">
      <c r="A48" s="58"/>
      <c r="B48" s="58"/>
      <c r="C48" s="59"/>
      <c r="D48" s="59"/>
    </row>
    <row r="49" spans="1:4" ht="21" customHeight="1" x14ac:dyDescent="0.3">
      <c r="A49" s="58"/>
      <c r="B49" s="58"/>
      <c r="C49" s="59"/>
      <c r="D49" s="59"/>
    </row>
    <row r="51" spans="1:4" ht="15" thickBot="1" x14ac:dyDescent="0.35"/>
    <row r="52" spans="1:4" ht="25.2" x14ac:dyDescent="0.3">
      <c r="A52" s="294"/>
      <c r="B52" s="295"/>
      <c r="C52" s="295"/>
      <c r="D52" s="296"/>
    </row>
    <row r="53" spans="1:4" x14ac:dyDescent="0.3">
      <c r="A53" s="31"/>
      <c r="B53" s="48"/>
      <c r="C53" s="2"/>
      <c r="D53" s="30"/>
    </row>
    <row r="54" spans="1:4" x14ac:dyDescent="0.3">
      <c r="A54" s="31"/>
      <c r="B54" s="49"/>
      <c r="C54" s="2"/>
      <c r="D54" s="30"/>
    </row>
    <row r="55" spans="1:4" x14ac:dyDescent="0.3">
      <c r="A55" s="31"/>
      <c r="B55" s="49"/>
      <c r="C55" s="2"/>
      <c r="D55" s="30"/>
    </row>
    <row r="56" spans="1:4" ht="15" thickBot="1" x14ac:dyDescent="0.35">
      <c r="A56" s="31"/>
      <c r="B56" s="2"/>
      <c r="C56" s="2"/>
      <c r="D56" s="30"/>
    </row>
    <row r="57" spans="1:4" ht="25.8" thickBot="1" x14ac:dyDescent="0.35">
      <c r="A57" s="297" t="s">
        <v>0</v>
      </c>
      <c r="B57" s="298"/>
      <c r="C57" s="298"/>
      <c r="D57" s="299"/>
    </row>
    <row r="58" spans="1:4" ht="25.2" x14ac:dyDescent="0.3">
      <c r="A58" s="52"/>
      <c r="B58" s="53"/>
      <c r="C58" s="53"/>
      <c r="D58" s="54"/>
    </row>
    <row r="59" spans="1:4" x14ac:dyDescent="0.3">
      <c r="A59" s="11" t="s">
        <v>1</v>
      </c>
      <c r="B59" s="3" t="s">
        <v>48</v>
      </c>
      <c r="C59" s="3"/>
      <c r="D59" s="12"/>
    </row>
    <row r="60" spans="1:4" x14ac:dyDescent="0.3">
      <c r="A60" s="11" t="s">
        <v>2</v>
      </c>
      <c r="B60" s="55">
        <v>2200159149</v>
      </c>
      <c r="C60" s="4"/>
      <c r="D60" s="13"/>
    </row>
    <row r="61" spans="1:4" x14ac:dyDescent="0.3">
      <c r="A61" s="11" t="s">
        <v>3</v>
      </c>
      <c r="B61" s="3" t="s">
        <v>49</v>
      </c>
      <c r="C61" s="4"/>
      <c r="D61" s="14"/>
    </row>
    <row r="62" spans="1:4" x14ac:dyDescent="0.3">
      <c r="A62" s="11" t="s">
        <v>26</v>
      </c>
      <c r="B62" s="3" t="s">
        <v>112</v>
      </c>
      <c r="C62" s="4"/>
      <c r="D62" s="15"/>
    </row>
    <row r="63" spans="1:4" x14ac:dyDescent="0.3">
      <c r="A63" s="11" t="s">
        <v>99</v>
      </c>
      <c r="B63" s="55">
        <v>2022</v>
      </c>
      <c r="C63" s="4"/>
      <c r="D63" s="15"/>
    </row>
    <row r="64" spans="1:4" x14ac:dyDescent="0.3">
      <c r="A64" s="16"/>
      <c r="B64" s="5"/>
      <c r="C64" s="5"/>
      <c r="D64" s="17"/>
    </row>
    <row r="65" spans="1:4" x14ac:dyDescent="0.3">
      <c r="A65" s="39" t="s">
        <v>94</v>
      </c>
      <c r="B65" s="40"/>
      <c r="C65" s="41" t="s">
        <v>5</v>
      </c>
      <c r="D65" s="42" t="s">
        <v>6</v>
      </c>
    </row>
    <row r="66" spans="1:4" x14ac:dyDescent="0.3">
      <c r="A66" s="18"/>
      <c r="B66" s="6"/>
      <c r="C66" s="7"/>
      <c r="D66" s="19"/>
    </row>
    <row r="67" spans="1:4" x14ac:dyDescent="0.3">
      <c r="A67" s="26" t="s">
        <v>16</v>
      </c>
      <c r="B67" s="27"/>
      <c r="C67" s="28">
        <v>733</v>
      </c>
      <c r="D67" s="29"/>
    </row>
    <row r="68" spans="1:4" ht="24" x14ac:dyDescent="0.3">
      <c r="A68" s="26" t="s">
        <v>104</v>
      </c>
      <c r="B68" s="27"/>
      <c r="C68" s="28"/>
      <c r="D68" s="29"/>
    </row>
    <row r="69" spans="1:4" x14ac:dyDescent="0.3">
      <c r="A69" s="26" t="s">
        <v>8</v>
      </c>
      <c r="B69" s="27"/>
      <c r="C69" s="28"/>
      <c r="D69" s="29"/>
    </row>
    <row r="70" spans="1:4" x14ac:dyDescent="0.3">
      <c r="A70" s="26" t="s">
        <v>9</v>
      </c>
      <c r="B70" s="27"/>
      <c r="C70" s="28"/>
      <c r="D70" s="29"/>
    </row>
    <row r="71" spans="1:4" x14ac:dyDescent="0.3">
      <c r="A71" s="26"/>
      <c r="B71" s="27" t="s">
        <v>10</v>
      </c>
      <c r="C71" s="28"/>
      <c r="D71" s="29">
        <f>C67*11.45%</f>
        <v>83.9285</v>
      </c>
    </row>
    <row r="72" spans="1:4" x14ac:dyDescent="0.3">
      <c r="A72" s="26"/>
      <c r="B72" s="27" t="s">
        <v>11</v>
      </c>
      <c r="C72" s="28"/>
      <c r="D72" s="29"/>
    </row>
    <row r="73" spans="1:4" x14ac:dyDescent="0.3">
      <c r="A73" s="26"/>
      <c r="B73" s="27" t="s">
        <v>110</v>
      </c>
      <c r="C73" s="28"/>
      <c r="D73" s="29"/>
    </row>
    <row r="74" spans="1:4" x14ac:dyDescent="0.3">
      <c r="A74" s="26"/>
      <c r="B74" s="27" t="s">
        <v>55</v>
      </c>
      <c r="C74" s="28"/>
      <c r="D74" s="29"/>
    </row>
    <row r="75" spans="1:4" x14ac:dyDescent="0.3">
      <c r="A75" s="26"/>
      <c r="B75" s="27"/>
      <c r="C75" s="28"/>
      <c r="D75" s="29"/>
    </row>
    <row r="76" spans="1:4" x14ac:dyDescent="0.3">
      <c r="A76" s="21"/>
      <c r="B76" s="8"/>
      <c r="C76" s="1"/>
      <c r="D76" s="20"/>
    </row>
    <row r="77" spans="1:4" x14ac:dyDescent="0.3">
      <c r="A77" s="43"/>
      <c r="B77" s="44" t="s">
        <v>12</v>
      </c>
      <c r="C77" s="46">
        <f>SUM(C67:C76)</f>
        <v>733</v>
      </c>
      <c r="D77" s="50">
        <f>SUM(D67:D76)</f>
        <v>83.9285</v>
      </c>
    </row>
    <row r="78" spans="1:4" x14ac:dyDescent="0.3">
      <c r="A78" s="21"/>
      <c r="B78" s="3"/>
      <c r="C78" s="3"/>
      <c r="D78" s="22"/>
    </row>
    <row r="79" spans="1:4" ht="28.2" x14ac:dyDescent="0.3">
      <c r="A79" s="21"/>
      <c r="B79" s="45"/>
      <c r="C79" s="47" t="s">
        <v>13</v>
      </c>
      <c r="D79" s="51">
        <f>+C77-D77</f>
        <v>649.07150000000001</v>
      </c>
    </row>
    <row r="80" spans="1:4" x14ac:dyDescent="0.3">
      <c r="A80" s="21"/>
      <c r="B80" s="3"/>
      <c r="C80" s="3"/>
      <c r="D80" s="22"/>
    </row>
    <row r="81" spans="1:4" x14ac:dyDescent="0.3">
      <c r="A81" s="23"/>
      <c r="B81" s="4" t="s">
        <v>14</v>
      </c>
      <c r="C81" s="2"/>
      <c r="D81" s="24"/>
    </row>
    <row r="82" spans="1:4" ht="15" thickBot="1" x14ac:dyDescent="0.35">
      <c r="A82" s="23"/>
      <c r="B82" s="9"/>
      <c r="C82" s="9"/>
      <c r="D82" s="24"/>
    </row>
    <row r="83" spans="1:4" x14ac:dyDescent="0.3">
      <c r="A83" s="300" t="s">
        <v>28</v>
      </c>
      <c r="B83" s="300" t="s">
        <v>29</v>
      </c>
      <c r="C83" s="302" t="s">
        <v>30</v>
      </c>
      <c r="D83" s="303"/>
    </row>
    <row r="84" spans="1:4" ht="15" thickBot="1" x14ac:dyDescent="0.35">
      <c r="A84" s="301"/>
      <c r="B84" s="301"/>
      <c r="C84" s="304"/>
      <c r="D84" s="305"/>
    </row>
    <row r="85" spans="1:4" x14ac:dyDescent="0.3">
      <c r="A85" s="37"/>
      <c r="B85" s="34"/>
      <c r="C85" s="32"/>
      <c r="D85" s="25"/>
    </row>
    <row r="86" spans="1:4" x14ac:dyDescent="0.3">
      <c r="A86" s="37"/>
      <c r="B86" s="34"/>
      <c r="C86" s="32"/>
      <c r="D86" s="25"/>
    </row>
    <row r="87" spans="1:4" x14ac:dyDescent="0.3">
      <c r="A87" s="37"/>
      <c r="B87" s="34"/>
      <c r="C87" s="32"/>
      <c r="D87" s="25"/>
    </row>
    <row r="88" spans="1:4" x14ac:dyDescent="0.3">
      <c r="A88" s="37"/>
      <c r="B88" s="34"/>
      <c r="C88" s="32"/>
      <c r="D88" s="2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8" t="s">
        <v>20</v>
      </c>
      <c r="B95" s="35" t="s">
        <v>21</v>
      </c>
      <c r="C95" s="290" t="s">
        <v>20</v>
      </c>
      <c r="D95" s="291"/>
    </row>
    <row r="96" spans="1:4" ht="15" thickBot="1" x14ac:dyDescent="0.35">
      <c r="A96" s="36" t="s">
        <v>22</v>
      </c>
      <c r="B96" s="33" t="s">
        <v>23</v>
      </c>
      <c r="C96" s="292" t="s">
        <v>50</v>
      </c>
      <c r="D96" s="306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48</v>
      </c>
      <c r="C112" s="3"/>
      <c r="D112" s="12"/>
    </row>
    <row r="113" spans="1:4" x14ac:dyDescent="0.3">
      <c r="A113" s="11" t="s">
        <v>2</v>
      </c>
      <c r="B113" s="55">
        <v>2200159149</v>
      </c>
      <c r="C113" s="4"/>
      <c r="D113" s="13"/>
    </row>
    <row r="114" spans="1:4" x14ac:dyDescent="0.3">
      <c r="A114" s="11" t="s">
        <v>3</v>
      </c>
      <c r="B114" s="3" t="s">
        <v>49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733</v>
      </c>
      <c r="D120" s="29"/>
    </row>
    <row r="121" spans="1:4" ht="24" x14ac:dyDescent="0.3">
      <c r="A121" s="26" t="s">
        <v>104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83.9285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110</v>
      </c>
      <c r="C126" s="28"/>
      <c r="D126" s="29">
        <v>2.15</v>
      </c>
    </row>
    <row r="127" spans="1:4" x14ac:dyDescent="0.3">
      <c r="A127" s="26"/>
      <c r="B127" s="27" t="s">
        <v>55</v>
      </c>
      <c r="C127" s="28"/>
      <c r="D127" s="29">
        <v>366.5</v>
      </c>
    </row>
    <row r="128" spans="1:4" x14ac:dyDescent="0.3">
      <c r="A128" s="26"/>
      <c r="B128" s="27"/>
      <c r="C128" s="28"/>
      <c r="D128" s="29"/>
    </row>
    <row r="129" spans="1:4" x14ac:dyDescent="0.3">
      <c r="A129" s="21"/>
      <c r="B129" s="8"/>
      <c r="C129" s="1"/>
      <c r="D129" s="20"/>
    </row>
    <row r="130" spans="1:4" x14ac:dyDescent="0.3">
      <c r="A130" s="43"/>
      <c r="B130" s="44" t="s">
        <v>12</v>
      </c>
      <c r="C130" s="46">
        <f>SUM(C120:C129)</f>
        <v>733</v>
      </c>
      <c r="D130" s="50">
        <f>SUM(D120:D129)</f>
        <v>452.57850000000002</v>
      </c>
    </row>
    <row r="131" spans="1:4" x14ac:dyDescent="0.3">
      <c r="A131" s="21"/>
      <c r="B131" s="3"/>
      <c r="C131" s="3"/>
      <c r="D131" s="22"/>
    </row>
    <row r="132" spans="1:4" ht="28.2" x14ac:dyDescent="0.3">
      <c r="A132" s="21"/>
      <c r="B132" s="45"/>
      <c r="C132" s="47" t="s">
        <v>13</v>
      </c>
      <c r="D132" s="51">
        <f>+C130-D130</f>
        <v>280.42149999999998</v>
      </c>
    </row>
    <row r="133" spans="1:4" x14ac:dyDescent="0.3">
      <c r="A133" s="21"/>
      <c r="B133" s="3"/>
      <c r="C133" s="3"/>
      <c r="D133" s="22"/>
    </row>
    <row r="134" spans="1:4" x14ac:dyDescent="0.3">
      <c r="A134" s="23"/>
      <c r="B134" s="4" t="s">
        <v>14</v>
      </c>
      <c r="C134" s="2"/>
      <c r="D134" s="24"/>
    </row>
    <row r="135" spans="1:4" ht="15" thickBot="1" x14ac:dyDescent="0.35">
      <c r="A135" s="23"/>
      <c r="B135" s="9"/>
      <c r="C135" s="9"/>
      <c r="D135" s="24"/>
    </row>
    <row r="136" spans="1:4" x14ac:dyDescent="0.3">
      <c r="A136" s="300" t="s">
        <v>28</v>
      </c>
      <c r="B136" s="300" t="s">
        <v>29</v>
      </c>
      <c r="C136" s="302" t="s">
        <v>30</v>
      </c>
      <c r="D136" s="303"/>
    </row>
    <row r="137" spans="1:4" ht="15" thickBot="1" x14ac:dyDescent="0.35">
      <c r="A137" s="301"/>
      <c r="B137" s="301"/>
      <c r="C137" s="304"/>
      <c r="D137" s="305"/>
    </row>
    <row r="138" spans="1:4" x14ac:dyDescent="0.3">
      <c r="A138" s="37"/>
      <c r="B138" s="34"/>
      <c r="C138" s="32"/>
      <c r="D138" s="2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8" t="s">
        <v>20</v>
      </c>
      <c r="B148" s="35" t="s">
        <v>21</v>
      </c>
      <c r="C148" s="290" t="s">
        <v>20</v>
      </c>
      <c r="D148" s="291"/>
    </row>
    <row r="149" spans="1:4" ht="15" thickBot="1" x14ac:dyDescent="0.35">
      <c r="A149" s="36" t="s">
        <v>22</v>
      </c>
      <c r="B149" s="33" t="s">
        <v>23</v>
      </c>
      <c r="C149" s="292" t="s">
        <v>50</v>
      </c>
      <c r="D149" s="306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48</v>
      </c>
      <c r="C162" s="3"/>
      <c r="D162" s="12"/>
    </row>
    <row r="163" spans="1:4" x14ac:dyDescent="0.3">
      <c r="A163" s="11" t="s">
        <v>2</v>
      </c>
      <c r="B163" s="55">
        <v>2200159149</v>
      </c>
      <c r="C163" s="4"/>
      <c r="D163" s="13"/>
    </row>
    <row r="164" spans="1:4" x14ac:dyDescent="0.3">
      <c r="A164" s="11" t="s">
        <v>3</v>
      </c>
      <c r="B164" s="3" t="s">
        <v>49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733</v>
      </c>
      <c r="D170" s="29"/>
    </row>
    <row r="171" spans="1:4" ht="24" x14ac:dyDescent="0.3">
      <c r="A171" s="26" t="s">
        <v>104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10</v>
      </c>
      <c r="C174" s="28"/>
      <c r="D174" s="29">
        <f>C170*11.45%</f>
        <v>83.9285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110</v>
      </c>
      <c r="C176" s="28"/>
      <c r="D176" s="29"/>
    </row>
    <row r="177" spans="1:4" x14ac:dyDescent="0.3">
      <c r="A177" s="26"/>
      <c r="B177" s="27" t="s">
        <v>55</v>
      </c>
      <c r="C177" s="28"/>
      <c r="D177" s="29">
        <v>366.5</v>
      </c>
    </row>
    <row r="178" spans="1:4" x14ac:dyDescent="0.3">
      <c r="A178" s="26"/>
      <c r="B178" s="27"/>
      <c r="C178" s="28"/>
      <c r="D178" s="29"/>
    </row>
    <row r="179" spans="1:4" x14ac:dyDescent="0.3">
      <c r="A179" s="21"/>
      <c r="B179" s="8"/>
      <c r="C179" s="1"/>
      <c r="D179" s="20"/>
    </row>
    <row r="180" spans="1:4" x14ac:dyDescent="0.3">
      <c r="A180" s="43"/>
      <c r="B180" s="44" t="s">
        <v>12</v>
      </c>
      <c r="C180" s="46">
        <f>SUM(C170:C179)</f>
        <v>733</v>
      </c>
      <c r="D180" s="50">
        <f>SUM(D170:D179)</f>
        <v>450.42849999999999</v>
      </c>
    </row>
    <row r="181" spans="1:4" x14ac:dyDescent="0.3">
      <c r="A181" s="21"/>
      <c r="B181" s="3"/>
      <c r="C181" s="3"/>
      <c r="D181" s="22"/>
    </row>
    <row r="182" spans="1:4" ht="28.2" x14ac:dyDescent="0.3">
      <c r="A182" s="21"/>
      <c r="B182" s="45"/>
      <c r="C182" s="47" t="s">
        <v>13</v>
      </c>
      <c r="D182" s="51">
        <f>+C180-D180</f>
        <v>282.57150000000001</v>
      </c>
    </row>
    <row r="183" spans="1:4" x14ac:dyDescent="0.3">
      <c r="A183" s="21"/>
      <c r="B183" s="3"/>
      <c r="C183" s="3"/>
      <c r="D183" s="22"/>
    </row>
    <row r="184" spans="1:4" x14ac:dyDescent="0.3">
      <c r="A184" s="23"/>
      <c r="B184" s="4" t="s">
        <v>14</v>
      </c>
      <c r="C184" s="2"/>
      <c r="D184" s="24"/>
    </row>
    <row r="185" spans="1:4" ht="15" thickBot="1" x14ac:dyDescent="0.35">
      <c r="A185" s="23"/>
      <c r="B185" s="9"/>
      <c r="C185" s="9"/>
      <c r="D185" s="24"/>
    </row>
    <row r="186" spans="1:4" x14ac:dyDescent="0.3">
      <c r="A186" s="300" t="s">
        <v>28</v>
      </c>
      <c r="B186" s="300" t="s">
        <v>29</v>
      </c>
      <c r="C186" s="302" t="s">
        <v>30</v>
      </c>
      <c r="D186" s="303"/>
    </row>
    <row r="187" spans="1:4" ht="15" thickBot="1" x14ac:dyDescent="0.35">
      <c r="A187" s="301"/>
      <c r="B187" s="301"/>
      <c r="C187" s="304"/>
      <c r="D187" s="305"/>
    </row>
    <row r="188" spans="1:4" x14ac:dyDescent="0.3">
      <c r="A188" s="37"/>
      <c r="B188" s="34"/>
      <c r="C188" s="32"/>
      <c r="D188" s="2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8" t="s">
        <v>20</v>
      </c>
      <c r="B198" s="35" t="s">
        <v>21</v>
      </c>
      <c r="C198" s="290" t="s">
        <v>20</v>
      </c>
      <c r="D198" s="291"/>
    </row>
    <row r="199" spans="1:4" ht="15" thickBot="1" x14ac:dyDescent="0.35">
      <c r="A199" s="36" t="s">
        <v>22</v>
      </c>
      <c r="B199" s="33" t="s">
        <v>23</v>
      </c>
      <c r="C199" s="292" t="s">
        <v>50</v>
      </c>
      <c r="D199" s="306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48</v>
      </c>
      <c r="C212" s="3"/>
      <c r="D212" s="12"/>
    </row>
    <row r="213" spans="1:4" x14ac:dyDescent="0.3">
      <c r="A213" s="11" t="s">
        <v>2</v>
      </c>
      <c r="B213" s="55">
        <v>2200159149</v>
      </c>
      <c r="C213" s="4"/>
      <c r="D213" s="13"/>
    </row>
    <row r="214" spans="1:4" x14ac:dyDescent="0.3">
      <c r="A214" s="11" t="s">
        <v>3</v>
      </c>
      <c r="B214" s="3" t="s">
        <v>49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733</v>
      </c>
      <c r="D220" s="29"/>
    </row>
    <row r="221" spans="1:4" ht="24" x14ac:dyDescent="0.3">
      <c r="A221" s="26" t="s">
        <v>104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83.9285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110</v>
      </c>
      <c r="C226" s="28"/>
      <c r="D226" s="29"/>
    </row>
    <row r="227" spans="1:4" x14ac:dyDescent="0.3">
      <c r="A227" s="26"/>
      <c r="B227" s="27" t="s">
        <v>55</v>
      </c>
      <c r="C227" s="28"/>
      <c r="D227" s="29">
        <v>366.5</v>
      </c>
    </row>
    <row r="228" spans="1:4" x14ac:dyDescent="0.3">
      <c r="A228" s="26"/>
      <c r="B228" s="27"/>
      <c r="C228" s="28"/>
      <c r="D228" s="29"/>
    </row>
    <row r="229" spans="1:4" x14ac:dyDescent="0.3">
      <c r="A229" s="21"/>
      <c r="B229" s="8"/>
      <c r="C229" s="1"/>
      <c r="D229" s="20"/>
    </row>
    <row r="230" spans="1:4" x14ac:dyDescent="0.3">
      <c r="A230" s="43"/>
      <c r="B230" s="44" t="s">
        <v>12</v>
      </c>
      <c r="C230" s="46">
        <f>SUM(C220:C229)</f>
        <v>733</v>
      </c>
      <c r="D230" s="50">
        <f>SUM(D220:D229)</f>
        <v>450.42849999999999</v>
      </c>
    </row>
    <row r="231" spans="1:4" x14ac:dyDescent="0.3">
      <c r="A231" s="21"/>
      <c r="B231" s="3"/>
      <c r="C231" s="3"/>
      <c r="D231" s="22"/>
    </row>
    <row r="232" spans="1:4" ht="28.2" x14ac:dyDescent="0.3">
      <c r="A232" s="21"/>
      <c r="B232" s="45"/>
      <c r="C232" s="47" t="s">
        <v>13</v>
      </c>
      <c r="D232" s="51">
        <f>+C230-D230</f>
        <v>282.57150000000001</v>
      </c>
    </row>
    <row r="233" spans="1:4" x14ac:dyDescent="0.3">
      <c r="A233" s="21"/>
      <c r="B233" s="3"/>
      <c r="C233" s="3"/>
      <c r="D233" s="22"/>
    </row>
    <row r="234" spans="1:4" x14ac:dyDescent="0.3">
      <c r="A234" s="23"/>
      <c r="B234" s="4" t="s">
        <v>14</v>
      </c>
      <c r="C234" s="2"/>
      <c r="D234" s="24"/>
    </row>
    <row r="235" spans="1:4" ht="15" thickBot="1" x14ac:dyDescent="0.35">
      <c r="A235" s="23"/>
      <c r="B235" s="9"/>
      <c r="C235" s="9"/>
      <c r="D235" s="24"/>
    </row>
    <row r="236" spans="1:4" x14ac:dyDescent="0.3">
      <c r="A236" s="300" t="s">
        <v>28</v>
      </c>
      <c r="B236" s="300" t="s">
        <v>29</v>
      </c>
      <c r="C236" s="302" t="s">
        <v>30</v>
      </c>
      <c r="D236" s="303"/>
    </row>
    <row r="237" spans="1:4" ht="15" thickBot="1" x14ac:dyDescent="0.35">
      <c r="A237" s="301"/>
      <c r="B237" s="301"/>
      <c r="C237" s="304"/>
      <c r="D237" s="305"/>
    </row>
    <row r="238" spans="1:4" x14ac:dyDescent="0.3">
      <c r="A238" s="37"/>
      <c r="B238" s="34"/>
      <c r="C238" s="32"/>
      <c r="D238" s="2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8" t="s">
        <v>20</v>
      </c>
      <c r="B248" s="35" t="s">
        <v>21</v>
      </c>
      <c r="C248" s="290" t="s">
        <v>20</v>
      </c>
      <c r="D248" s="291"/>
    </row>
    <row r="249" spans="1:4" ht="15" thickBot="1" x14ac:dyDescent="0.35">
      <c r="A249" s="36" t="s">
        <v>22</v>
      </c>
      <c r="B249" s="33" t="s">
        <v>23</v>
      </c>
      <c r="C249" s="292" t="s">
        <v>50</v>
      </c>
      <c r="D249" s="306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48</v>
      </c>
      <c r="C262" s="3"/>
      <c r="D262" s="12"/>
    </row>
    <row r="263" spans="1:4" x14ac:dyDescent="0.3">
      <c r="A263" s="11" t="s">
        <v>2</v>
      </c>
      <c r="B263" s="55">
        <v>2200159149</v>
      </c>
      <c r="C263" s="4"/>
      <c r="D263" s="13"/>
    </row>
    <row r="264" spans="1:4" x14ac:dyDescent="0.3">
      <c r="A264" s="11" t="s">
        <v>3</v>
      </c>
      <c r="B264" s="3" t="s">
        <v>49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733</v>
      </c>
      <c r="D270" s="29"/>
    </row>
    <row r="271" spans="1:4" ht="24" x14ac:dyDescent="0.3">
      <c r="A271" s="26" t="s">
        <v>104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10</v>
      </c>
      <c r="C274" s="28"/>
      <c r="D274" s="29">
        <f>C270*11.45%</f>
        <v>83.9285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110</v>
      </c>
      <c r="C276" s="28"/>
      <c r="D276" s="29"/>
    </row>
    <row r="277" spans="1:4" x14ac:dyDescent="0.3">
      <c r="A277" s="26"/>
      <c r="B277" s="27" t="s">
        <v>55</v>
      </c>
      <c r="C277" s="28"/>
      <c r="D277" s="29">
        <v>366.5</v>
      </c>
    </row>
    <row r="278" spans="1:4" x14ac:dyDescent="0.3">
      <c r="A278" s="26"/>
      <c r="B278" s="27"/>
      <c r="C278" s="28"/>
      <c r="D278" s="29"/>
    </row>
    <row r="279" spans="1:4" x14ac:dyDescent="0.3">
      <c r="A279" s="21"/>
      <c r="B279" s="8"/>
      <c r="C279" s="1"/>
      <c r="D279" s="20"/>
    </row>
    <row r="280" spans="1:4" x14ac:dyDescent="0.3">
      <c r="A280" s="43"/>
      <c r="B280" s="44" t="s">
        <v>12</v>
      </c>
      <c r="C280" s="46">
        <f>SUM(C270:C279)</f>
        <v>733</v>
      </c>
      <c r="D280" s="50">
        <f>SUM(D270:D279)</f>
        <v>450.42849999999999</v>
      </c>
    </row>
    <row r="281" spans="1:4" x14ac:dyDescent="0.3">
      <c r="A281" s="21"/>
      <c r="B281" s="3"/>
      <c r="C281" s="3"/>
      <c r="D281" s="22"/>
    </row>
    <row r="282" spans="1:4" ht="28.2" x14ac:dyDescent="0.3">
      <c r="A282" s="21"/>
      <c r="B282" s="45"/>
      <c r="C282" s="47" t="s">
        <v>13</v>
      </c>
      <c r="D282" s="51">
        <f>+C280-D280</f>
        <v>282.57150000000001</v>
      </c>
    </row>
    <row r="283" spans="1:4" x14ac:dyDescent="0.3">
      <c r="A283" s="21"/>
      <c r="B283" s="3"/>
      <c r="C283" s="3"/>
      <c r="D283" s="22"/>
    </row>
    <row r="284" spans="1:4" x14ac:dyDescent="0.3">
      <c r="A284" s="23"/>
      <c r="B284" s="4" t="s">
        <v>14</v>
      </c>
      <c r="C284" s="2"/>
      <c r="D284" s="24"/>
    </row>
    <row r="285" spans="1:4" ht="15" thickBot="1" x14ac:dyDescent="0.35">
      <c r="A285" s="23"/>
      <c r="B285" s="9"/>
      <c r="C285" s="9"/>
      <c r="D285" s="24"/>
    </row>
    <row r="286" spans="1:4" x14ac:dyDescent="0.3">
      <c r="A286" s="300" t="s">
        <v>28</v>
      </c>
      <c r="B286" s="300" t="s">
        <v>29</v>
      </c>
      <c r="C286" s="302" t="s">
        <v>30</v>
      </c>
      <c r="D286" s="303"/>
    </row>
    <row r="287" spans="1:4" ht="15" thickBot="1" x14ac:dyDescent="0.35">
      <c r="A287" s="301"/>
      <c r="B287" s="301"/>
      <c r="C287" s="304"/>
      <c r="D287" s="305"/>
    </row>
    <row r="288" spans="1:4" x14ac:dyDescent="0.3">
      <c r="A288" s="37"/>
      <c r="B288" s="34"/>
      <c r="C288" s="32"/>
      <c r="D288" s="2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8" t="s">
        <v>20</v>
      </c>
      <c r="B298" s="35" t="s">
        <v>21</v>
      </c>
      <c r="C298" s="290" t="s">
        <v>20</v>
      </c>
      <c r="D298" s="291"/>
    </row>
    <row r="299" spans="1:4" ht="15" thickBot="1" x14ac:dyDescent="0.35">
      <c r="A299" s="36" t="s">
        <v>22</v>
      </c>
      <c r="B299" s="33" t="s">
        <v>23</v>
      </c>
      <c r="C299" s="292" t="s">
        <v>50</v>
      </c>
      <c r="D299" s="306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48</v>
      </c>
      <c r="C312" s="3"/>
      <c r="D312" s="12"/>
    </row>
    <row r="313" spans="1:4" x14ac:dyDescent="0.3">
      <c r="A313" s="11" t="s">
        <v>2</v>
      </c>
      <c r="B313" s="55">
        <v>2200159149</v>
      </c>
      <c r="C313" s="4"/>
      <c r="D313" s="13"/>
    </row>
    <row r="314" spans="1:4" x14ac:dyDescent="0.3">
      <c r="A314" s="11" t="s">
        <v>3</v>
      </c>
      <c r="B314" s="3" t="s">
        <v>49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733</v>
      </c>
      <c r="D320" s="29"/>
    </row>
    <row r="321" spans="1:4" ht="24" x14ac:dyDescent="0.3">
      <c r="A321" s="26" t="s">
        <v>104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10</v>
      </c>
      <c r="C324" s="28"/>
      <c r="D324" s="29">
        <f>C320*11.45%</f>
        <v>83.9285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110</v>
      </c>
      <c r="C326" s="28"/>
      <c r="D326" s="29"/>
    </row>
    <row r="327" spans="1:4" x14ac:dyDescent="0.3">
      <c r="A327" s="26"/>
      <c r="B327" s="27" t="s">
        <v>55</v>
      </c>
      <c r="C327" s="28"/>
      <c r="D327" s="29">
        <v>366.5</v>
      </c>
    </row>
    <row r="328" spans="1:4" x14ac:dyDescent="0.3">
      <c r="A328" s="26"/>
      <c r="B328" s="27"/>
      <c r="C328" s="28"/>
      <c r="D328" s="29"/>
    </row>
    <row r="329" spans="1:4" x14ac:dyDescent="0.3">
      <c r="A329" s="21"/>
      <c r="B329" s="8"/>
      <c r="C329" s="1"/>
      <c r="D329" s="20"/>
    </row>
    <row r="330" spans="1:4" x14ac:dyDescent="0.3">
      <c r="A330" s="43"/>
      <c r="B330" s="44" t="s">
        <v>12</v>
      </c>
      <c r="C330" s="46">
        <f>SUM(C320:C329)</f>
        <v>733</v>
      </c>
      <c r="D330" s="50">
        <f>SUM(D320:D329)</f>
        <v>450.42849999999999</v>
      </c>
    </row>
    <row r="331" spans="1:4" x14ac:dyDescent="0.3">
      <c r="A331" s="21"/>
      <c r="B331" s="3"/>
      <c r="C331" s="3"/>
      <c r="D331" s="22"/>
    </row>
    <row r="332" spans="1:4" ht="28.2" x14ac:dyDescent="0.3">
      <c r="A332" s="21"/>
      <c r="B332" s="45"/>
      <c r="C332" s="47" t="s">
        <v>13</v>
      </c>
      <c r="D332" s="51">
        <f>+C330-D330</f>
        <v>282.57150000000001</v>
      </c>
    </row>
    <row r="333" spans="1:4" x14ac:dyDescent="0.3">
      <c r="A333" s="21"/>
      <c r="B333" s="3"/>
      <c r="C333" s="3"/>
      <c r="D333" s="22"/>
    </row>
    <row r="334" spans="1:4" x14ac:dyDescent="0.3">
      <c r="A334" s="23"/>
      <c r="B334" s="4" t="s">
        <v>14</v>
      </c>
      <c r="C334" s="2"/>
      <c r="D334" s="24"/>
    </row>
    <row r="335" spans="1:4" ht="15" thickBot="1" x14ac:dyDescent="0.35">
      <c r="A335" s="23"/>
      <c r="B335" s="9"/>
      <c r="C335" s="9"/>
      <c r="D335" s="24"/>
    </row>
    <row r="336" spans="1:4" x14ac:dyDescent="0.3">
      <c r="A336" s="300" t="s">
        <v>28</v>
      </c>
      <c r="B336" s="300" t="s">
        <v>29</v>
      </c>
      <c r="C336" s="302" t="s">
        <v>30</v>
      </c>
      <c r="D336" s="303"/>
    </row>
    <row r="337" spans="1:4" ht="15" thickBot="1" x14ac:dyDescent="0.35">
      <c r="A337" s="301"/>
      <c r="B337" s="301"/>
      <c r="C337" s="304"/>
      <c r="D337" s="305"/>
    </row>
    <row r="338" spans="1:4" x14ac:dyDescent="0.3">
      <c r="A338" s="37"/>
      <c r="B338" s="34"/>
      <c r="C338" s="32"/>
      <c r="D338" s="2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8" t="s">
        <v>20</v>
      </c>
      <c r="B348" s="35" t="s">
        <v>21</v>
      </c>
      <c r="C348" s="290" t="s">
        <v>20</v>
      </c>
      <c r="D348" s="291"/>
    </row>
    <row r="349" spans="1:4" ht="15" thickBot="1" x14ac:dyDescent="0.35">
      <c r="A349" s="36" t="s">
        <v>22</v>
      </c>
      <c r="B349" s="33" t="s">
        <v>23</v>
      </c>
      <c r="C349" s="292" t="s">
        <v>50</v>
      </c>
      <c r="D349" s="306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48</v>
      </c>
      <c r="C362" s="3"/>
      <c r="D362" s="12"/>
    </row>
    <row r="363" spans="1:4" x14ac:dyDescent="0.3">
      <c r="A363" s="11" t="s">
        <v>2</v>
      </c>
      <c r="B363" s="55">
        <v>2200159149</v>
      </c>
      <c r="C363" s="4"/>
      <c r="D363" s="13"/>
    </row>
    <row r="364" spans="1:4" x14ac:dyDescent="0.3">
      <c r="A364" s="11" t="s">
        <v>3</v>
      </c>
      <c r="B364" s="3" t="s">
        <v>49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ht="24" x14ac:dyDescent="0.3">
      <c r="A371" s="26" t="s">
        <v>104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10</v>
      </c>
      <c r="C374" s="28"/>
      <c r="D374" s="29">
        <f>C370*11.45%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110</v>
      </c>
      <c r="C376" s="28"/>
      <c r="D376" s="29"/>
    </row>
    <row r="377" spans="1:4" x14ac:dyDescent="0.3">
      <c r="A377" s="26"/>
      <c r="B377" s="27" t="s">
        <v>55</v>
      </c>
      <c r="C377" s="28"/>
      <c r="D377" s="29"/>
    </row>
    <row r="378" spans="1:4" x14ac:dyDescent="0.3">
      <c r="A378" s="26"/>
      <c r="B378" s="27"/>
      <c r="C378" s="28"/>
      <c r="D378" s="29"/>
    </row>
    <row r="379" spans="1:4" x14ac:dyDescent="0.3">
      <c r="A379" s="21"/>
      <c r="B379" s="8"/>
      <c r="C379" s="1"/>
      <c r="D379" s="20"/>
    </row>
    <row r="380" spans="1:4" x14ac:dyDescent="0.3">
      <c r="A380" s="43"/>
      <c r="B380" s="44" t="s">
        <v>12</v>
      </c>
      <c r="C380" s="46">
        <f>SUM(C370:C379)</f>
        <v>425</v>
      </c>
      <c r="D380" s="50">
        <f>SUM(D370:D379)</f>
        <v>0</v>
      </c>
    </row>
    <row r="381" spans="1:4" x14ac:dyDescent="0.3">
      <c r="A381" s="21"/>
      <c r="B381" s="3"/>
      <c r="C381" s="3"/>
      <c r="D381" s="22"/>
    </row>
    <row r="382" spans="1:4" ht="28.2" x14ac:dyDescent="0.3">
      <c r="A382" s="21"/>
      <c r="B382" s="45"/>
      <c r="C382" s="47" t="s">
        <v>13</v>
      </c>
      <c r="D382" s="51">
        <f>+C380-D380</f>
        <v>425</v>
      </c>
    </row>
    <row r="383" spans="1:4" x14ac:dyDescent="0.3">
      <c r="A383" s="21"/>
      <c r="B383" s="3"/>
      <c r="C383" s="3"/>
      <c r="D383" s="22"/>
    </row>
    <row r="384" spans="1:4" x14ac:dyDescent="0.3">
      <c r="A384" s="23"/>
      <c r="B384" s="4" t="s">
        <v>14</v>
      </c>
      <c r="C384" s="2"/>
      <c r="D384" s="24"/>
    </row>
    <row r="385" spans="1:4" ht="15" thickBot="1" x14ac:dyDescent="0.35">
      <c r="A385" s="23"/>
      <c r="B385" s="9"/>
      <c r="C385" s="9"/>
      <c r="D385" s="24"/>
    </row>
    <row r="386" spans="1:4" x14ac:dyDescent="0.3">
      <c r="A386" s="300" t="s">
        <v>28</v>
      </c>
      <c r="B386" s="300" t="s">
        <v>29</v>
      </c>
      <c r="C386" s="302" t="s">
        <v>30</v>
      </c>
      <c r="D386" s="303"/>
    </row>
    <row r="387" spans="1:4" ht="15" thickBot="1" x14ac:dyDescent="0.35">
      <c r="A387" s="301"/>
      <c r="B387" s="301"/>
      <c r="C387" s="304"/>
      <c r="D387" s="305"/>
    </row>
    <row r="388" spans="1:4" x14ac:dyDescent="0.3">
      <c r="A388" s="37"/>
      <c r="B388" s="34"/>
      <c r="C388" s="32"/>
      <c r="D388" s="2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8" t="s">
        <v>20</v>
      </c>
      <c r="B398" s="35" t="s">
        <v>21</v>
      </c>
      <c r="C398" s="290" t="s">
        <v>20</v>
      </c>
      <c r="D398" s="291"/>
    </row>
    <row r="399" spans="1:4" ht="15" thickBot="1" x14ac:dyDescent="0.35">
      <c r="A399" s="36" t="s">
        <v>22</v>
      </c>
      <c r="B399" s="33" t="s">
        <v>23</v>
      </c>
      <c r="C399" s="292" t="s">
        <v>50</v>
      </c>
      <c r="D399" s="306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48</v>
      </c>
      <c r="C412" s="3"/>
      <c r="D412" s="12"/>
    </row>
    <row r="413" spans="1:4" x14ac:dyDescent="0.3">
      <c r="A413" s="11" t="s">
        <v>2</v>
      </c>
      <c r="B413" s="55">
        <v>2200159149</v>
      </c>
      <c r="C413" s="4"/>
      <c r="D413" s="13"/>
    </row>
    <row r="414" spans="1:4" x14ac:dyDescent="0.3">
      <c r="A414" s="11" t="s">
        <v>3</v>
      </c>
      <c r="B414" s="3" t="s">
        <v>49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733</v>
      </c>
      <c r="D420" s="29"/>
    </row>
    <row r="421" spans="1:4" ht="24" x14ac:dyDescent="0.3">
      <c r="A421" s="26" t="s">
        <v>104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10</v>
      </c>
      <c r="C424" s="28"/>
      <c r="D424" s="29">
        <f>C420*11.45%</f>
        <v>83.9285</v>
      </c>
    </row>
    <row r="425" spans="1:4" x14ac:dyDescent="0.3">
      <c r="A425" s="26"/>
      <c r="B425" s="27" t="s">
        <v>11</v>
      </c>
      <c r="C425" s="28"/>
      <c r="D425" s="29"/>
    </row>
    <row r="426" spans="1:4" x14ac:dyDescent="0.3">
      <c r="A426" s="26"/>
      <c r="B426" s="27" t="s">
        <v>110</v>
      </c>
      <c r="C426" s="28"/>
      <c r="D426" s="29"/>
    </row>
    <row r="427" spans="1:4" x14ac:dyDescent="0.3">
      <c r="A427" s="26"/>
      <c r="B427" s="27" t="s">
        <v>55</v>
      </c>
      <c r="C427" s="28"/>
      <c r="D427" s="29">
        <v>366.5</v>
      </c>
    </row>
    <row r="428" spans="1:4" x14ac:dyDescent="0.3">
      <c r="A428" s="26"/>
      <c r="B428" s="27"/>
      <c r="C428" s="28"/>
      <c r="D428" s="29"/>
    </row>
    <row r="429" spans="1:4" x14ac:dyDescent="0.3">
      <c r="A429" s="21"/>
      <c r="B429" s="8"/>
      <c r="C429" s="1"/>
      <c r="D429" s="20"/>
    </row>
    <row r="430" spans="1:4" x14ac:dyDescent="0.3">
      <c r="A430" s="43"/>
      <c r="B430" s="44" t="s">
        <v>12</v>
      </c>
      <c r="C430" s="46">
        <f>SUM(C420:C429)</f>
        <v>733</v>
      </c>
      <c r="D430" s="50">
        <f>SUM(D420:D429)</f>
        <v>450.42849999999999</v>
      </c>
    </row>
    <row r="431" spans="1:4" x14ac:dyDescent="0.3">
      <c r="A431" s="21"/>
      <c r="B431" s="3"/>
      <c r="C431" s="3"/>
      <c r="D431" s="22"/>
    </row>
    <row r="432" spans="1:4" ht="28.2" x14ac:dyDescent="0.3">
      <c r="A432" s="21"/>
      <c r="B432" s="45"/>
      <c r="C432" s="47" t="s">
        <v>13</v>
      </c>
      <c r="D432" s="51">
        <f>+C430-D430</f>
        <v>282.57150000000001</v>
      </c>
    </row>
    <row r="433" spans="1:4" x14ac:dyDescent="0.3">
      <c r="A433" s="21"/>
      <c r="B433" s="3"/>
      <c r="C433" s="3"/>
      <c r="D433" s="22"/>
    </row>
    <row r="434" spans="1:4" x14ac:dyDescent="0.3">
      <c r="A434" s="23"/>
      <c r="B434" s="4" t="s">
        <v>14</v>
      </c>
      <c r="C434" s="2"/>
      <c r="D434" s="24"/>
    </row>
    <row r="435" spans="1:4" ht="15" thickBot="1" x14ac:dyDescent="0.35">
      <c r="A435" s="23"/>
      <c r="B435" s="9"/>
      <c r="C435" s="9"/>
      <c r="D435" s="24"/>
    </row>
    <row r="436" spans="1:4" x14ac:dyDescent="0.3">
      <c r="A436" s="300" t="s">
        <v>28</v>
      </c>
      <c r="B436" s="300" t="s">
        <v>29</v>
      </c>
      <c r="C436" s="302" t="s">
        <v>30</v>
      </c>
      <c r="D436" s="303"/>
    </row>
    <row r="437" spans="1:4" ht="15" thickBot="1" x14ac:dyDescent="0.35">
      <c r="A437" s="301"/>
      <c r="B437" s="301"/>
      <c r="C437" s="304"/>
      <c r="D437" s="305"/>
    </row>
    <row r="438" spans="1:4" x14ac:dyDescent="0.3">
      <c r="A438" s="37"/>
      <c r="B438" s="34"/>
      <c r="C438" s="32"/>
      <c r="D438" s="2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8" t="s">
        <v>20</v>
      </c>
      <c r="B448" s="35" t="s">
        <v>21</v>
      </c>
      <c r="C448" s="290" t="s">
        <v>20</v>
      </c>
      <c r="D448" s="291"/>
    </row>
    <row r="449" spans="1:4" ht="15" thickBot="1" x14ac:dyDescent="0.35">
      <c r="A449" s="36" t="s">
        <v>22</v>
      </c>
      <c r="B449" s="33" t="s">
        <v>23</v>
      </c>
      <c r="C449" s="292" t="s">
        <v>50</v>
      </c>
      <c r="D449" s="306"/>
    </row>
    <row r="454" spans="1:4" ht="15" thickBot="1" x14ac:dyDescent="0.35"/>
    <row r="455" spans="1:4" ht="25.2" x14ac:dyDescent="0.3">
      <c r="A455" s="294"/>
      <c r="B455" s="295"/>
      <c r="C455" s="295"/>
      <c r="D455" s="296"/>
    </row>
    <row r="456" spans="1:4" x14ac:dyDescent="0.3">
      <c r="A456" s="31"/>
      <c r="B456" s="48"/>
      <c r="C456" s="2"/>
      <c r="D456" s="30"/>
    </row>
    <row r="457" spans="1:4" x14ac:dyDescent="0.3">
      <c r="A457" s="31"/>
      <c r="B457" s="49"/>
      <c r="C457" s="2"/>
      <c r="D457" s="30"/>
    </row>
    <row r="458" spans="1:4" x14ac:dyDescent="0.3">
      <c r="A458" s="31"/>
      <c r="B458" s="49"/>
      <c r="C458" s="2"/>
      <c r="D458" s="30"/>
    </row>
    <row r="459" spans="1:4" ht="15" thickBot="1" x14ac:dyDescent="0.35">
      <c r="A459" s="31"/>
      <c r="B459" s="2"/>
      <c r="C459" s="2"/>
      <c r="D459" s="30"/>
    </row>
    <row r="460" spans="1:4" ht="25.8" thickBot="1" x14ac:dyDescent="0.35">
      <c r="A460" s="297" t="s">
        <v>0</v>
      </c>
      <c r="B460" s="298"/>
      <c r="C460" s="298"/>
      <c r="D460" s="299"/>
    </row>
    <row r="461" spans="1:4" ht="25.2" x14ac:dyDescent="0.3">
      <c r="A461" s="52"/>
      <c r="B461" s="53"/>
      <c r="C461" s="53"/>
      <c r="D461" s="54"/>
    </row>
    <row r="462" spans="1:4" x14ac:dyDescent="0.3">
      <c r="A462" s="11" t="s">
        <v>1</v>
      </c>
      <c r="B462" s="3" t="s">
        <v>48</v>
      </c>
      <c r="C462" s="3"/>
      <c r="D462" s="12"/>
    </row>
    <row r="463" spans="1:4" x14ac:dyDescent="0.3">
      <c r="A463" s="11" t="s">
        <v>2</v>
      </c>
      <c r="B463" s="55">
        <v>2200159149</v>
      </c>
      <c r="C463" s="4"/>
      <c r="D463" s="13"/>
    </row>
    <row r="464" spans="1:4" x14ac:dyDescent="0.3">
      <c r="A464" s="11" t="s">
        <v>3</v>
      </c>
      <c r="B464" s="3" t="s">
        <v>49</v>
      </c>
      <c r="C464" s="4"/>
      <c r="D464" s="14"/>
    </row>
    <row r="465" spans="1:4" x14ac:dyDescent="0.3">
      <c r="A465" s="11" t="s">
        <v>26</v>
      </c>
      <c r="B465" s="3" t="s">
        <v>142</v>
      </c>
      <c r="C465" s="4"/>
      <c r="D465" s="15"/>
    </row>
    <row r="466" spans="1:4" x14ac:dyDescent="0.3">
      <c r="A466" s="11" t="s">
        <v>99</v>
      </c>
      <c r="B466" s="55">
        <v>2022</v>
      </c>
      <c r="C466" s="4"/>
      <c r="D466" s="15"/>
    </row>
    <row r="467" spans="1:4" x14ac:dyDescent="0.3">
      <c r="A467" s="16"/>
      <c r="B467" s="5"/>
      <c r="C467" s="5"/>
      <c r="D467" s="17"/>
    </row>
    <row r="468" spans="1:4" x14ac:dyDescent="0.3">
      <c r="A468" s="39" t="s">
        <v>94</v>
      </c>
      <c r="B468" s="40"/>
      <c r="C468" s="41" t="s">
        <v>5</v>
      </c>
      <c r="D468" s="42" t="s">
        <v>6</v>
      </c>
    </row>
    <row r="469" spans="1:4" x14ac:dyDescent="0.3">
      <c r="A469" s="18"/>
      <c r="B469" s="6"/>
      <c r="C469" s="7"/>
      <c r="D469" s="19"/>
    </row>
    <row r="470" spans="1:4" x14ac:dyDescent="0.3">
      <c r="A470" s="26" t="s">
        <v>16</v>
      </c>
      <c r="B470" s="27"/>
      <c r="C470" s="28">
        <f>(733/30)*21</f>
        <v>513.1</v>
      </c>
      <c r="D470" s="29"/>
    </row>
    <row r="471" spans="1:4" ht="24" x14ac:dyDescent="0.3">
      <c r="A471" s="26" t="s">
        <v>137</v>
      </c>
      <c r="B471" s="27"/>
      <c r="C471" s="28">
        <f>(733*8.33%)*9</f>
        <v>549.53010000000006</v>
      </c>
      <c r="D471" s="29"/>
    </row>
    <row r="472" spans="1:4" ht="24" x14ac:dyDescent="0.3">
      <c r="A472" s="26" t="s">
        <v>138</v>
      </c>
      <c r="B472" s="27"/>
      <c r="C472" s="28">
        <f>(733/12)*9</f>
        <v>549.75</v>
      </c>
      <c r="D472" s="29"/>
    </row>
    <row r="473" spans="1:4" x14ac:dyDescent="0.3">
      <c r="A473" s="26" t="s">
        <v>9</v>
      </c>
      <c r="B473" s="27"/>
      <c r="C473" s="28">
        <f>(425/12)*1</f>
        <v>35.416666666666664</v>
      </c>
      <c r="D473" s="29"/>
    </row>
    <row r="474" spans="1:4" x14ac:dyDescent="0.3">
      <c r="A474" s="26" t="s">
        <v>123</v>
      </c>
      <c r="B474" s="27"/>
      <c r="C474" s="28">
        <f>(733*2)</f>
        <v>1466</v>
      </c>
      <c r="D474" s="29"/>
    </row>
    <row r="475" spans="1:4" x14ac:dyDescent="0.3">
      <c r="A475" s="26"/>
      <c r="B475" s="27" t="s">
        <v>10</v>
      </c>
      <c r="C475" s="28"/>
      <c r="D475" s="29">
        <f>C470*11.45%</f>
        <v>58.749949999999998</v>
      </c>
    </row>
    <row r="476" spans="1:4" x14ac:dyDescent="0.3">
      <c r="A476" s="26"/>
      <c r="B476" s="27" t="s">
        <v>11</v>
      </c>
      <c r="C476" s="28"/>
      <c r="D476" s="29"/>
    </row>
    <row r="477" spans="1:4" x14ac:dyDescent="0.3">
      <c r="A477" s="26"/>
      <c r="B477" s="27" t="s">
        <v>110</v>
      </c>
      <c r="C477" s="28"/>
      <c r="D477" s="29"/>
    </row>
    <row r="478" spans="1:4" x14ac:dyDescent="0.3">
      <c r="A478" s="26"/>
      <c r="B478" s="27" t="s">
        <v>55</v>
      </c>
      <c r="C478" s="28"/>
      <c r="D478" s="29">
        <v>37.89</v>
      </c>
    </row>
    <row r="479" spans="1:4" x14ac:dyDescent="0.3">
      <c r="A479" s="26"/>
      <c r="B479" s="27"/>
      <c r="C479" s="28"/>
      <c r="D479" s="29"/>
    </row>
    <row r="480" spans="1:4" x14ac:dyDescent="0.3">
      <c r="A480" s="21"/>
      <c r="B480" s="8"/>
      <c r="C480" s="1"/>
      <c r="D480" s="20"/>
    </row>
    <row r="481" spans="1:4" x14ac:dyDescent="0.3">
      <c r="A481" s="43"/>
      <c r="B481" s="44" t="s">
        <v>12</v>
      </c>
      <c r="C481" s="46">
        <f>SUM(C470:C480)</f>
        <v>3113.7967666666668</v>
      </c>
      <c r="D481" s="50">
        <f>SUM(D470:D480)</f>
        <v>96.639949999999999</v>
      </c>
    </row>
    <row r="482" spans="1:4" x14ac:dyDescent="0.3">
      <c r="A482" s="21"/>
      <c r="B482" s="3"/>
      <c r="C482" s="3"/>
      <c r="D482" s="22"/>
    </row>
    <row r="483" spans="1:4" ht="28.2" x14ac:dyDescent="0.3">
      <c r="A483" s="21"/>
      <c r="B483" s="45"/>
      <c r="C483" s="47" t="s">
        <v>13</v>
      </c>
      <c r="D483" s="51">
        <f>+C481-D481</f>
        <v>3017.1568166666666</v>
      </c>
    </row>
    <row r="484" spans="1:4" x14ac:dyDescent="0.3">
      <c r="A484" s="21"/>
      <c r="B484" s="3"/>
      <c r="C484" s="3"/>
      <c r="D484" s="22"/>
    </row>
    <row r="485" spans="1:4" x14ac:dyDescent="0.3">
      <c r="A485" s="23"/>
      <c r="B485" s="4" t="s">
        <v>14</v>
      </c>
      <c r="C485" s="2"/>
      <c r="D485" s="24"/>
    </row>
    <row r="486" spans="1:4" ht="15" thickBot="1" x14ac:dyDescent="0.35">
      <c r="A486" s="23"/>
      <c r="B486" s="9"/>
      <c r="C486" s="9"/>
      <c r="D486" s="24"/>
    </row>
    <row r="487" spans="1:4" x14ac:dyDescent="0.3">
      <c r="A487" s="300" t="s">
        <v>28</v>
      </c>
      <c r="B487" s="300" t="s">
        <v>29</v>
      </c>
      <c r="C487" s="302" t="s">
        <v>30</v>
      </c>
      <c r="D487" s="303"/>
    </row>
    <row r="488" spans="1:4" ht="15" thickBot="1" x14ac:dyDescent="0.35">
      <c r="A488" s="301"/>
      <c r="B488" s="301"/>
      <c r="C488" s="304"/>
      <c r="D488" s="305"/>
    </row>
    <row r="489" spans="1:4" x14ac:dyDescent="0.3">
      <c r="A489" s="37"/>
      <c r="B489" s="34"/>
      <c r="C489" s="32"/>
      <c r="D489" s="25"/>
    </row>
    <row r="490" spans="1:4" x14ac:dyDescent="0.3">
      <c r="A490" s="37"/>
      <c r="B490" s="34"/>
      <c r="C490" s="32"/>
      <c r="D490" s="25"/>
    </row>
    <row r="491" spans="1:4" x14ac:dyDescent="0.3">
      <c r="A491" s="37"/>
      <c r="B491" s="34"/>
      <c r="C491" s="32"/>
      <c r="D491" s="25"/>
    </row>
    <row r="492" spans="1:4" x14ac:dyDescent="0.3">
      <c r="A492" s="37"/>
      <c r="B492" s="34"/>
      <c r="C492" s="32"/>
      <c r="D492" s="25"/>
    </row>
    <row r="493" spans="1:4" x14ac:dyDescent="0.3">
      <c r="A493" s="37"/>
      <c r="B493" s="34"/>
      <c r="C493" s="32"/>
      <c r="D493" s="25"/>
    </row>
    <row r="494" spans="1:4" x14ac:dyDescent="0.3">
      <c r="A494" s="37"/>
      <c r="B494" s="34"/>
      <c r="C494" s="32"/>
      <c r="D494" s="25"/>
    </row>
    <row r="495" spans="1:4" x14ac:dyDescent="0.3">
      <c r="A495" s="37"/>
      <c r="B495" s="34"/>
      <c r="C495" s="32"/>
      <c r="D495" s="25"/>
    </row>
    <row r="496" spans="1:4" x14ac:dyDescent="0.3">
      <c r="A496" s="37"/>
      <c r="B496" s="34"/>
      <c r="C496" s="32"/>
      <c r="D496" s="25"/>
    </row>
    <row r="497" spans="1:4" x14ac:dyDescent="0.3">
      <c r="A497" s="37"/>
      <c r="B497" s="34"/>
      <c r="C497" s="32"/>
      <c r="D497" s="25"/>
    </row>
    <row r="498" spans="1:4" x14ac:dyDescent="0.3">
      <c r="A498" s="37"/>
      <c r="B498" s="34"/>
      <c r="C498" s="32"/>
      <c r="D498" s="25"/>
    </row>
    <row r="499" spans="1:4" x14ac:dyDescent="0.3">
      <c r="A499" s="38" t="s">
        <v>20</v>
      </c>
      <c r="B499" s="35" t="s">
        <v>21</v>
      </c>
      <c r="C499" s="290" t="s">
        <v>20</v>
      </c>
      <c r="D499" s="291"/>
    </row>
    <row r="500" spans="1:4" ht="15" thickBot="1" x14ac:dyDescent="0.35">
      <c r="A500" s="36" t="s">
        <v>22</v>
      </c>
      <c r="B500" s="33" t="s">
        <v>23</v>
      </c>
      <c r="C500" s="292" t="s">
        <v>50</v>
      </c>
      <c r="D500" s="306"/>
    </row>
  </sheetData>
  <mergeCells count="70">
    <mergeCell ref="C448:D448"/>
    <mergeCell ref="C449:D449"/>
    <mergeCell ref="A405:D405"/>
    <mergeCell ref="A410:D410"/>
    <mergeCell ref="A436:A437"/>
    <mergeCell ref="B436:B437"/>
    <mergeCell ref="C436:D437"/>
    <mergeCell ref="C348:D348"/>
    <mergeCell ref="C349:D349"/>
    <mergeCell ref="A305:D305"/>
    <mergeCell ref="A310:D310"/>
    <mergeCell ref="A336:A337"/>
    <mergeCell ref="B336:B337"/>
    <mergeCell ref="C336:D337"/>
    <mergeCell ref="C298:D298"/>
    <mergeCell ref="C299:D299"/>
    <mergeCell ref="A255:D255"/>
    <mergeCell ref="A260:D260"/>
    <mergeCell ref="A286:A287"/>
    <mergeCell ref="B286:B287"/>
    <mergeCell ref="C286:D287"/>
    <mergeCell ref="C95:D95"/>
    <mergeCell ref="C96:D96"/>
    <mergeCell ref="A52:D52"/>
    <mergeCell ref="A57:D57"/>
    <mergeCell ref="A83:A84"/>
    <mergeCell ref="B83:B84"/>
    <mergeCell ref="C83:D84"/>
    <mergeCell ref="C46:D46"/>
    <mergeCell ref="C47:D47"/>
    <mergeCell ref="A3:D3"/>
    <mergeCell ref="A8:D8"/>
    <mergeCell ref="A34:A35"/>
    <mergeCell ref="B34:B35"/>
    <mergeCell ref="C34:D35"/>
    <mergeCell ref="C148:D148"/>
    <mergeCell ref="C149:D149"/>
    <mergeCell ref="A105:D105"/>
    <mergeCell ref="A110:D110"/>
    <mergeCell ref="A136:A137"/>
    <mergeCell ref="B136:B137"/>
    <mergeCell ref="C136:D137"/>
    <mergeCell ref="C198:D198"/>
    <mergeCell ref="C199:D199"/>
    <mergeCell ref="A155:D155"/>
    <mergeCell ref="A160:D160"/>
    <mergeCell ref="A186:A187"/>
    <mergeCell ref="B186:B187"/>
    <mergeCell ref="C186:D187"/>
    <mergeCell ref="C248:D248"/>
    <mergeCell ref="C249:D249"/>
    <mergeCell ref="A205:D205"/>
    <mergeCell ref="A210:D210"/>
    <mergeCell ref="A236:A237"/>
    <mergeCell ref="B236:B237"/>
    <mergeCell ref="C236:D237"/>
    <mergeCell ref="C398:D398"/>
    <mergeCell ref="C399:D399"/>
    <mergeCell ref="A355:D355"/>
    <mergeCell ref="A360:D360"/>
    <mergeCell ref="A386:A387"/>
    <mergeCell ref="B386:B387"/>
    <mergeCell ref="C386:D387"/>
    <mergeCell ref="C499:D499"/>
    <mergeCell ref="C500:D500"/>
    <mergeCell ref="A455:D455"/>
    <mergeCell ref="A460:D460"/>
    <mergeCell ref="A487:A488"/>
    <mergeCell ref="B487:B488"/>
    <mergeCell ref="C487:D488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E450"/>
  <sheetViews>
    <sheetView topLeftCell="A410" zoomScale="90" zoomScaleNormal="90" workbookViewId="0">
      <selection activeCell="E433" sqref="E433"/>
    </sheetView>
  </sheetViews>
  <sheetFormatPr baseColWidth="10" defaultRowHeight="14.4" x14ac:dyDescent="0.3"/>
  <cols>
    <col min="1" max="1" width="34.6640625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51</v>
      </c>
      <c r="C9" s="3"/>
      <c r="D9" s="12"/>
    </row>
    <row r="10" spans="1:4" x14ac:dyDescent="0.3">
      <c r="A10" s="11" t="s">
        <v>2</v>
      </c>
      <c r="B10" s="55">
        <v>1600531048</v>
      </c>
      <c r="C10" s="4"/>
      <c r="D10" s="13"/>
    </row>
    <row r="11" spans="1:4" x14ac:dyDescent="0.3">
      <c r="A11" s="11" t="s">
        <v>3</v>
      </c>
      <c r="B11" s="3" t="s">
        <v>52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4" x14ac:dyDescent="0.3">
      <c r="A17" s="26" t="s">
        <v>16</v>
      </c>
      <c r="B17" s="27"/>
      <c r="C17" s="28">
        <v>1300</v>
      </c>
      <c r="D17" s="29"/>
    </row>
    <row r="18" spans="1:4" ht="24" x14ac:dyDescent="0.3">
      <c r="A18" s="26" t="s">
        <v>106</v>
      </c>
      <c r="B18" s="27"/>
      <c r="C18" s="28"/>
      <c r="D18" s="29"/>
    </row>
    <row r="19" spans="1:4" x14ac:dyDescent="0.3">
      <c r="A19" s="26" t="s">
        <v>8</v>
      </c>
      <c r="B19" s="27"/>
      <c r="C19" s="28"/>
      <c r="D19" s="29"/>
    </row>
    <row r="20" spans="1:4" x14ac:dyDescent="0.3">
      <c r="A20" s="26" t="s">
        <v>9</v>
      </c>
      <c r="B20" s="27"/>
      <c r="C20" s="28"/>
      <c r="D20" s="29"/>
    </row>
    <row r="21" spans="1:4" x14ac:dyDescent="0.3">
      <c r="A21" s="26"/>
      <c r="B21" s="27" t="s">
        <v>10</v>
      </c>
      <c r="C21" s="28"/>
      <c r="D21" s="29">
        <f>C17*11.45%</f>
        <v>148.85</v>
      </c>
    </row>
    <row r="22" spans="1:4" x14ac:dyDescent="0.3">
      <c r="A22" s="26"/>
      <c r="B22" s="27" t="s">
        <v>11</v>
      </c>
      <c r="C22" s="28"/>
      <c r="D22" s="29"/>
    </row>
    <row r="23" spans="1:4" x14ac:dyDescent="0.3">
      <c r="A23" s="26"/>
      <c r="B23" s="27" t="s">
        <v>55</v>
      </c>
      <c r="C23" s="28"/>
      <c r="D23" s="29">
        <v>975</v>
      </c>
    </row>
    <row r="24" spans="1:4" x14ac:dyDescent="0.3">
      <c r="A24" s="26"/>
      <c r="B24" s="27" t="s">
        <v>102</v>
      </c>
      <c r="C24" s="28"/>
      <c r="D24" s="29"/>
    </row>
    <row r="25" spans="1:4" x14ac:dyDescent="0.3">
      <c r="A25" s="26"/>
      <c r="B25" s="27" t="s">
        <v>18</v>
      </c>
      <c r="C25" s="28"/>
      <c r="D25" s="29"/>
    </row>
    <row r="26" spans="1:4" x14ac:dyDescent="0.3">
      <c r="A26" s="26"/>
      <c r="B26" s="27"/>
      <c r="C26" s="28"/>
      <c r="D26" s="29"/>
    </row>
    <row r="27" spans="1:4" x14ac:dyDescent="0.3">
      <c r="A27" s="21"/>
      <c r="B27" s="8"/>
      <c r="C27" s="1"/>
      <c r="D27" s="20"/>
    </row>
    <row r="28" spans="1:4" x14ac:dyDescent="0.3">
      <c r="A28" s="43"/>
      <c r="B28" s="44" t="s">
        <v>12</v>
      </c>
      <c r="C28" s="46">
        <f>SUM(C17:C27)</f>
        <v>1300</v>
      </c>
      <c r="D28" s="50">
        <f>SUM(D17:D27)</f>
        <v>1123.8499999999999</v>
      </c>
    </row>
    <row r="29" spans="1:4" x14ac:dyDescent="0.3">
      <c r="A29" s="21"/>
      <c r="B29" s="3"/>
      <c r="C29" s="3"/>
      <c r="D29" s="22"/>
    </row>
    <row r="30" spans="1:4" ht="28.2" x14ac:dyDescent="0.3">
      <c r="A30" s="21"/>
      <c r="B30" s="45"/>
      <c r="C30" s="47" t="s">
        <v>13</v>
      </c>
      <c r="D30" s="51">
        <f>+C28-D28</f>
        <v>176.15000000000009</v>
      </c>
    </row>
    <row r="31" spans="1:4" x14ac:dyDescent="0.3">
      <c r="A31" s="21"/>
      <c r="B31" s="3"/>
      <c r="C31" s="3"/>
      <c r="D31" s="22"/>
    </row>
    <row r="32" spans="1:4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53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54</v>
      </c>
      <c r="D47" s="293"/>
    </row>
    <row r="54" spans="1:4" ht="15" thickBot="1" x14ac:dyDescent="0.35"/>
    <row r="55" spans="1:4" ht="25.2" x14ac:dyDescent="0.3">
      <c r="A55" s="294"/>
      <c r="B55" s="295"/>
      <c r="C55" s="295"/>
      <c r="D55" s="296"/>
    </row>
    <row r="56" spans="1:4" x14ac:dyDescent="0.3">
      <c r="A56" s="31"/>
      <c r="B56" s="48"/>
      <c r="C56" s="2"/>
      <c r="D56" s="30"/>
    </row>
    <row r="57" spans="1:4" x14ac:dyDescent="0.3">
      <c r="A57" s="31"/>
      <c r="B57" s="49"/>
      <c r="C57" s="2"/>
      <c r="D57" s="30"/>
    </row>
    <row r="58" spans="1:4" x14ac:dyDescent="0.3">
      <c r="A58" s="31"/>
      <c r="B58" s="49"/>
      <c r="C58" s="2"/>
      <c r="D58" s="30"/>
    </row>
    <row r="59" spans="1:4" ht="15" thickBot="1" x14ac:dyDescent="0.35">
      <c r="A59" s="31"/>
      <c r="B59" s="2"/>
      <c r="C59" s="2"/>
      <c r="D59" s="30"/>
    </row>
    <row r="60" spans="1:4" ht="25.8" thickBot="1" x14ac:dyDescent="0.35">
      <c r="A60" s="297" t="s">
        <v>0</v>
      </c>
      <c r="B60" s="298"/>
      <c r="C60" s="298"/>
      <c r="D60" s="299"/>
    </row>
    <row r="61" spans="1:4" ht="25.2" x14ac:dyDescent="0.3">
      <c r="A61" s="52"/>
      <c r="B61" s="53"/>
      <c r="C61" s="53"/>
      <c r="D61" s="54"/>
    </row>
    <row r="62" spans="1:4" x14ac:dyDescent="0.3">
      <c r="A62" s="11" t="s">
        <v>1</v>
      </c>
      <c r="B62" s="3" t="s">
        <v>51</v>
      </c>
      <c r="C62" s="3"/>
      <c r="D62" s="12"/>
    </row>
    <row r="63" spans="1:4" x14ac:dyDescent="0.3">
      <c r="A63" s="11" t="s">
        <v>2</v>
      </c>
      <c r="B63" s="55">
        <v>1600531048</v>
      </c>
      <c r="C63" s="4"/>
      <c r="D63" s="13"/>
    </row>
    <row r="64" spans="1:4" x14ac:dyDescent="0.3">
      <c r="A64" s="11" t="s">
        <v>3</v>
      </c>
      <c r="B64" s="3" t="s">
        <v>52</v>
      </c>
      <c r="C64" s="4"/>
      <c r="D64" s="14"/>
    </row>
    <row r="65" spans="1:4" x14ac:dyDescent="0.3">
      <c r="A65" s="11" t="s">
        <v>26</v>
      </c>
      <c r="B65" s="3" t="s">
        <v>112</v>
      </c>
      <c r="C65" s="4"/>
      <c r="D65" s="15"/>
    </row>
    <row r="66" spans="1:4" x14ac:dyDescent="0.3">
      <c r="A66" s="11" t="s">
        <v>99</v>
      </c>
      <c r="B66" s="55">
        <v>2022</v>
      </c>
      <c r="C66" s="4"/>
      <c r="D66" s="15"/>
    </row>
    <row r="67" spans="1:4" x14ac:dyDescent="0.3">
      <c r="A67" s="16"/>
      <c r="B67" s="5"/>
      <c r="C67" s="5"/>
      <c r="D67" s="17"/>
    </row>
    <row r="68" spans="1:4" x14ac:dyDescent="0.3">
      <c r="A68" s="39" t="s">
        <v>94</v>
      </c>
      <c r="B68" s="40"/>
      <c r="C68" s="41" t="s">
        <v>5</v>
      </c>
      <c r="D68" s="42" t="s">
        <v>6</v>
      </c>
    </row>
    <row r="69" spans="1:4" x14ac:dyDescent="0.3">
      <c r="A69" s="18"/>
      <c r="B69" s="6"/>
      <c r="C69" s="7"/>
      <c r="D69" s="19"/>
    </row>
    <row r="70" spans="1:4" x14ac:dyDescent="0.3">
      <c r="A70" s="26" t="s">
        <v>16</v>
      </c>
      <c r="B70" s="27"/>
      <c r="C70" s="28">
        <v>1300</v>
      </c>
      <c r="D70" s="29"/>
    </row>
    <row r="71" spans="1:4" ht="24" x14ac:dyDescent="0.3">
      <c r="A71" s="26" t="s">
        <v>106</v>
      </c>
      <c r="B71" s="27"/>
      <c r="C71" s="28"/>
      <c r="D71" s="29"/>
    </row>
    <row r="72" spans="1:4" x14ac:dyDescent="0.3">
      <c r="A72" s="26" t="s">
        <v>8</v>
      </c>
      <c r="B72" s="27"/>
      <c r="C72" s="28"/>
      <c r="D72" s="29"/>
    </row>
    <row r="73" spans="1:4" x14ac:dyDescent="0.3">
      <c r="A73" s="26" t="s">
        <v>9</v>
      </c>
      <c r="B73" s="27"/>
      <c r="C73" s="28"/>
      <c r="D73" s="29"/>
    </row>
    <row r="74" spans="1:4" x14ac:dyDescent="0.3">
      <c r="A74" s="26"/>
      <c r="B74" s="27" t="s">
        <v>10</v>
      </c>
      <c r="C74" s="28"/>
      <c r="D74" s="29">
        <f>C70*11.45%</f>
        <v>148.85</v>
      </c>
    </row>
    <row r="75" spans="1:4" x14ac:dyDescent="0.3">
      <c r="A75" s="26"/>
      <c r="B75" s="27" t="s">
        <v>11</v>
      </c>
      <c r="C75" s="28"/>
      <c r="D75" s="29"/>
    </row>
    <row r="76" spans="1:4" x14ac:dyDescent="0.3">
      <c r="A76" s="26"/>
      <c r="B76" s="27" t="s">
        <v>55</v>
      </c>
      <c r="C76" s="28"/>
      <c r="D76" s="29">
        <v>975</v>
      </c>
    </row>
    <row r="77" spans="1:4" x14ac:dyDescent="0.3">
      <c r="A77" s="26"/>
      <c r="B77" s="27" t="s">
        <v>102</v>
      </c>
      <c r="C77" s="28"/>
      <c r="D77" s="29"/>
    </row>
    <row r="78" spans="1:4" x14ac:dyDescent="0.3">
      <c r="A78" s="26"/>
      <c r="B78" s="27" t="s">
        <v>18</v>
      </c>
      <c r="C78" s="28"/>
      <c r="D78" s="29"/>
    </row>
    <row r="79" spans="1:4" x14ac:dyDescent="0.3">
      <c r="A79" s="26"/>
      <c r="B79" s="27"/>
      <c r="C79" s="28"/>
      <c r="D79" s="29"/>
    </row>
    <row r="80" spans="1:4" x14ac:dyDescent="0.3">
      <c r="A80" s="21"/>
      <c r="B80" s="8"/>
      <c r="C80" s="1"/>
      <c r="D80" s="20"/>
    </row>
    <row r="81" spans="1:4" x14ac:dyDescent="0.3">
      <c r="A81" s="43"/>
      <c r="B81" s="44" t="s">
        <v>12</v>
      </c>
      <c r="C81" s="46">
        <f>SUM(C70:C80)</f>
        <v>1300</v>
      </c>
      <c r="D81" s="50">
        <f>SUM(D70:D80)</f>
        <v>1123.8499999999999</v>
      </c>
    </row>
    <row r="82" spans="1:4" x14ac:dyDescent="0.3">
      <c r="A82" s="21"/>
      <c r="B82" s="3"/>
      <c r="C82" s="3"/>
      <c r="D82" s="22"/>
    </row>
    <row r="83" spans="1:4" ht="28.2" x14ac:dyDescent="0.3">
      <c r="A83" s="21"/>
      <c r="B83" s="45"/>
      <c r="C83" s="47" t="s">
        <v>13</v>
      </c>
      <c r="D83" s="51">
        <f>+C81-D81</f>
        <v>176.15000000000009</v>
      </c>
    </row>
    <row r="84" spans="1:4" x14ac:dyDescent="0.3">
      <c r="A84" s="21"/>
      <c r="B84" s="3"/>
      <c r="C84" s="3"/>
      <c r="D84" s="22"/>
    </row>
    <row r="85" spans="1:4" x14ac:dyDescent="0.3">
      <c r="A85" s="23"/>
      <c r="B85" s="4" t="s">
        <v>14</v>
      </c>
      <c r="C85" s="2"/>
      <c r="D85" s="24"/>
    </row>
    <row r="86" spans="1:4" ht="15" thickBot="1" x14ac:dyDescent="0.35">
      <c r="A86" s="23"/>
      <c r="B86" s="9"/>
      <c r="C86" s="9"/>
      <c r="D86" s="24"/>
    </row>
    <row r="87" spans="1:4" x14ac:dyDescent="0.3">
      <c r="A87" s="300" t="s">
        <v>28</v>
      </c>
      <c r="B87" s="300" t="s">
        <v>93</v>
      </c>
      <c r="C87" s="302" t="s">
        <v>30</v>
      </c>
      <c r="D87" s="303"/>
    </row>
    <row r="88" spans="1:4" ht="15" thickBot="1" x14ac:dyDescent="0.35">
      <c r="A88" s="301"/>
      <c r="B88" s="301"/>
      <c r="C88" s="304"/>
      <c r="D88" s="30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7"/>
      <c r="B98" s="34"/>
      <c r="C98" s="32"/>
      <c r="D98" s="25"/>
    </row>
    <row r="99" spans="1:4" x14ac:dyDescent="0.3">
      <c r="A99" s="38" t="s">
        <v>20</v>
      </c>
      <c r="B99" s="35" t="s">
        <v>21</v>
      </c>
      <c r="C99" s="290" t="s">
        <v>53</v>
      </c>
      <c r="D99" s="291"/>
    </row>
    <row r="100" spans="1:4" ht="15" thickBot="1" x14ac:dyDescent="0.35">
      <c r="A100" s="36" t="s">
        <v>22</v>
      </c>
      <c r="B100" s="33" t="s">
        <v>23</v>
      </c>
      <c r="C100" s="292" t="s">
        <v>54</v>
      </c>
      <c r="D100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51</v>
      </c>
      <c r="C112" s="3"/>
      <c r="D112" s="12"/>
    </row>
    <row r="113" spans="1:4" x14ac:dyDescent="0.3">
      <c r="A113" s="11" t="s">
        <v>2</v>
      </c>
      <c r="B113" s="55">
        <v>1600531048</v>
      </c>
      <c r="C113" s="4"/>
      <c r="D113" s="13"/>
    </row>
    <row r="114" spans="1:4" x14ac:dyDescent="0.3">
      <c r="A114" s="11" t="s">
        <v>3</v>
      </c>
      <c r="B114" s="3" t="s">
        <v>52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1300</v>
      </c>
      <c r="D120" s="29"/>
    </row>
    <row r="121" spans="1:4" ht="24" x14ac:dyDescent="0.3">
      <c r="A121" s="26" t="s">
        <v>106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148.85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>
        <v>975</v>
      </c>
    </row>
    <row r="127" spans="1:4" x14ac:dyDescent="0.3">
      <c r="A127" s="26"/>
      <c r="B127" s="27" t="s">
        <v>102</v>
      </c>
      <c r="C127" s="28"/>
      <c r="D127" s="29">
        <v>130.27000000000001</v>
      </c>
    </row>
    <row r="128" spans="1:4" x14ac:dyDescent="0.3">
      <c r="A128" s="26"/>
      <c r="B128" s="27" t="s">
        <v>18</v>
      </c>
      <c r="C128" s="28"/>
      <c r="D128" s="29"/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1300</v>
      </c>
      <c r="D131" s="50">
        <f>SUM(D120:D130)</f>
        <v>1254.1199999999999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45.880000000000109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93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8" t="s">
        <v>20</v>
      </c>
      <c r="B149" s="35" t="s">
        <v>21</v>
      </c>
      <c r="C149" s="290" t="s">
        <v>53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54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5" ht="25.2" x14ac:dyDescent="0.3">
      <c r="A161" s="52"/>
      <c r="B161" s="53"/>
      <c r="C161" s="53"/>
      <c r="D161" s="54"/>
    </row>
    <row r="162" spans="1:5" x14ac:dyDescent="0.3">
      <c r="A162" s="11" t="s">
        <v>1</v>
      </c>
      <c r="B162" s="3" t="s">
        <v>51</v>
      </c>
      <c r="C162" s="3"/>
      <c r="D162" s="12"/>
    </row>
    <row r="163" spans="1:5" x14ac:dyDescent="0.3">
      <c r="A163" s="11" t="s">
        <v>2</v>
      </c>
      <c r="B163" s="55">
        <v>1600531048</v>
      </c>
      <c r="C163" s="4"/>
      <c r="D163" s="13"/>
    </row>
    <row r="164" spans="1:5" x14ac:dyDescent="0.3">
      <c r="A164" s="11" t="s">
        <v>3</v>
      </c>
      <c r="B164" s="3" t="s">
        <v>52</v>
      </c>
      <c r="C164" s="4"/>
      <c r="D164" s="14"/>
    </row>
    <row r="165" spans="1:5" x14ac:dyDescent="0.3">
      <c r="A165" s="11" t="s">
        <v>26</v>
      </c>
      <c r="B165" s="3" t="s">
        <v>117</v>
      </c>
      <c r="C165" s="4"/>
      <c r="D165" s="15"/>
    </row>
    <row r="166" spans="1:5" x14ac:dyDescent="0.3">
      <c r="A166" s="11" t="s">
        <v>99</v>
      </c>
      <c r="B166" s="55">
        <v>2022</v>
      </c>
      <c r="C166" s="4"/>
      <c r="D166" s="15"/>
    </row>
    <row r="167" spans="1:5" x14ac:dyDescent="0.3">
      <c r="A167" s="16"/>
      <c r="B167" s="5"/>
      <c r="C167" s="5"/>
      <c r="D167" s="17"/>
    </row>
    <row r="168" spans="1:5" x14ac:dyDescent="0.3">
      <c r="A168" s="39" t="s">
        <v>94</v>
      </c>
      <c r="B168" s="40"/>
      <c r="C168" s="41" t="s">
        <v>5</v>
      </c>
      <c r="D168" s="42" t="s">
        <v>6</v>
      </c>
    </row>
    <row r="169" spans="1:5" x14ac:dyDescent="0.3">
      <c r="A169" s="18"/>
      <c r="B169" s="6"/>
      <c r="C169" s="7"/>
      <c r="D169" s="19"/>
    </row>
    <row r="170" spans="1:5" x14ac:dyDescent="0.3">
      <c r="A170" s="26" t="s">
        <v>16</v>
      </c>
      <c r="B170" s="27"/>
      <c r="C170" s="28">
        <v>1300</v>
      </c>
      <c r="D170" s="29"/>
    </row>
    <row r="171" spans="1:5" ht="24" x14ac:dyDescent="0.3">
      <c r="A171" s="26" t="s">
        <v>106</v>
      </c>
      <c r="B171" s="27"/>
      <c r="C171" s="28"/>
      <c r="D171" s="29"/>
    </row>
    <row r="172" spans="1:5" x14ac:dyDescent="0.3">
      <c r="A172" s="26" t="s">
        <v>8</v>
      </c>
      <c r="B172" s="27"/>
      <c r="C172" s="28"/>
      <c r="D172" s="29"/>
    </row>
    <row r="173" spans="1:5" x14ac:dyDescent="0.3">
      <c r="A173" s="26" t="s">
        <v>9</v>
      </c>
      <c r="B173" s="27"/>
      <c r="C173" s="28"/>
      <c r="D173" s="29"/>
    </row>
    <row r="174" spans="1:5" x14ac:dyDescent="0.3">
      <c r="A174" s="26"/>
      <c r="B174" s="27" t="s">
        <v>10</v>
      </c>
      <c r="C174" s="28"/>
      <c r="D174" s="29">
        <f>C170*11.45%</f>
        <v>148.85</v>
      </c>
    </row>
    <row r="175" spans="1:5" x14ac:dyDescent="0.3">
      <c r="A175" s="26"/>
      <c r="B175" s="27" t="s">
        <v>11</v>
      </c>
      <c r="C175" s="28"/>
      <c r="D175" s="29">
        <v>355.83</v>
      </c>
    </row>
    <row r="176" spans="1:5" x14ac:dyDescent="0.3">
      <c r="A176" s="26"/>
      <c r="B176" s="27" t="s">
        <v>55</v>
      </c>
      <c r="C176" s="28"/>
      <c r="D176" s="29">
        <v>600</v>
      </c>
      <c r="E176" s="62" t="s">
        <v>118</v>
      </c>
    </row>
    <row r="177" spans="1:4" x14ac:dyDescent="0.3">
      <c r="A177" s="26"/>
      <c r="B177" s="27" t="s">
        <v>102</v>
      </c>
      <c r="C177" s="28"/>
      <c r="D177" s="29"/>
    </row>
    <row r="178" spans="1:4" x14ac:dyDescent="0.3">
      <c r="A178" s="26"/>
      <c r="B178" s="27" t="s">
        <v>18</v>
      </c>
      <c r="C178" s="28"/>
      <c r="D178" s="29"/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1300</v>
      </c>
      <c r="D181" s="50">
        <f>SUM(D170:D180)</f>
        <v>1104.6799999999998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195.32000000000016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93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53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54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51</v>
      </c>
      <c r="C212" s="3"/>
      <c r="D212" s="12"/>
    </row>
    <row r="213" spans="1:4" x14ac:dyDescent="0.3">
      <c r="A213" s="11" t="s">
        <v>2</v>
      </c>
      <c r="B213" s="55">
        <v>1600531048</v>
      </c>
      <c r="C213" s="4"/>
      <c r="D213" s="13"/>
    </row>
    <row r="214" spans="1:4" x14ac:dyDescent="0.3">
      <c r="A214" s="11" t="s">
        <v>3</v>
      </c>
      <c r="B214" s="3" t="s">
        <v>52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1300</v>
      </c>
      <c r="D220" s="29"/>
    </row>
    <row r="221" spans="1:4" ht="24" x14ac:dyDescent="0.3">
      <c r="A221" s="26" t="s">
        <v>106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148.85</v>
      </c>
    </row>
    <row r="225" spans="1:4" x14ac:dyDescent="0.3">
      <c r="A225" s="26"/>
      <c r="B225" s="27" t="s">
        <v>11</v>
      </c>
      <c r="C225" s="28"/>
      <c r="D225" s="29">
        <v>350</v>
      </c>
    </row>
    <row r="226" spans="1:4" x14ac:dyDescent="0.3">
      <c r="A226" s="26"/>
      <c r="B226" s="27" t="s">
        <v>55</v>
      </c>
      <c r="C226" s="28"/>
      <c r="D226" s="29">
        <v>375</v>
      </c>
    </row>
    <row r="227" spans="1:4" x14ac:dyDescent="0.3">
      <c r="A227" s="26"/>
      <c r="B227" s="27" t="s">
        <v>102</v>
      </c>
      <c r="C227" s="28"/>
      <c r="D227" s="29"/>
    </row>
    <row r="228" spans="1:4" x14ac:dyDescent="0.3">
      <c r="A228" s="26"/>
      <c r="B228" s="27" t="s">
        <v>18</v>
      </c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1300</v>
      </c>
      <c r="D231" s="50">
        <f>SUM(D220:D230)</f>
        <v>873.85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426.15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93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53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54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51</v>
      </c>
      <c r="C262" s="3"/>
      <c r="D262" s="12"/>
    </row>
    <row r="263" spans="1:4" x14ac:dyDescent="0.3">
      <c r="A263" s="11" t="s">
        <v>2</v>
      </c>
      <c r="B263" s="55">
        <v>1600531048</v>
      </c>
      <c r="C263" s="4"/>
      <c r="D263" s="13"/>
    </row>
    <row r="264" spans="1:4" x14ac:dyDescent="0.3">
      <c r="A264" s="11" t="s">
        <v>3</v>
      </c>
      <c r="B264" s="3" t="s">
        <v>52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1300</v>
      </c>
      <c r="D270" s="29"/>
    </row>
    <row r="271" spans="1:4" ht="24" x14ac:dyDescent="0.3">
      <c r="A271" s="26" t="s">
        <v>106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10</v>
      </c>
      <c r="C274" s="28"/>
      <c r="D274" s="29">
        <f>C270*11.45%</f>
        <v>148.85</v>
      </c>
    </row>
    <row r="275" spans="1:4" x14ac:dyDescent="0.3">
      <c r="A275" s="26"/>
      <c r="B275" s="27" t="s">
        <v>11</v>
      </c>
      <c r="C275" s="28"/>
      <c r="D275" s="29">
        <v>347.91</v>
      </c>
    </row>
    <row r="276" spans="1:4" x14ac:dyDescent="0.3">
      <c r="A276" s="26"/>
      <c r="B276" s="27" t="s">
        <v>55</v>
      </c>
      <c r="C276" s="28"/>
      <c r="D276" s="29">
        <v>650</v>
      </c>
    </row>
    <row r="277" spans="1:4" x14ac:dyDescent="0.3">
      <c r="A277" s="26"/>
      <c r="B277" s="27" t="s">
        <v>102</v>
      </c>
      <c r="C277" s="28"/>
      <c r="D277" s="29"/>
    </row>
    <row r="278" spans="1:4" x14ac:dyDescent="0.3">
      <c r="A278" s="26"/>
      <c r="B278" s="27" t="s">
        <v>18</v>
      </c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1300</v>
      </c>
      <c r="D281" s="50">
        <f>SUM(D270:D280)</f>
        <v>1146.76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153.24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93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53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54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51</v>
      </c>
      <c r="C312" s="3"/>
      <c r="D312" s="12"/>
    </row>
    <row r="313" spans="1:4" x14ac:dyDescent="0.3">
      <c r="A313" s="11" t="s">
        <v>2</v>
      </c>
      <c r="B313" s="55">
        <v>1600531048</v>
      </c>
      <c r="C313" s="4"/>
      <c r="D313" s="13"/>
    </row>
    <row r="314" spans="1:4" x14ac:dyDescent="0.3">
      <c r="A314" s="11" t="s">
        <v>3</v>
      </c>
      <c r="B314" s="3" t="s">
        <v>52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1300</v>
      </c>
      <c r="D320" s="29"/>
    </row>
    <row r="321" spans="1:4" ht="24" x14ac:dyDescent="0.3">
      <c r="A321" s="26" t="s">
        <v>106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10</v>
      </c>
      <c r="C324" s="28"/>
      <c r="D324" s="29">
        <f>C320*11.45%</f>
        <v>148.85</v>
      </c>
    </row>
    <row r="325" spans="1:4" x14ac:dyDescent="0.3">
      <c r="A325" s="26"/>
      <c r="B325" s="27" t="s">
        <v>11</v>
      </c>
      <c r="C325" s="28"/>
      <c r="D325" s="29">
        <v>345.83</v>
      </c>
    </row>
    <row r="326" spans="1:4" x14ac:dyDescent="0.3">
      <c r="A326" s="26"/>
      <c r="B326" s="27" t="s">
        <v>55</v>
      </c>
      <c r="C326" s="28"/>
      <c r="D326" s="29">
        <v>650</v>
      </c>
    </row>
    <row r="327" spans="1:4" x14ac:dyDescent="0.3">
      <c r="A327" s="26"/>
      <c r="B327" s="27" t="s">
        <v>102</v>
      </c>
      <c r="C327" s="28"/>
      <c r="D327" s="29"/>
    </row>
    <row r="328" spans="1:4" x14ac:dyDescent="0.3">
      <c r="A328" s="26"/>
      <c r="B328" s="27" t="s">
        <v>18</v>
      </c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1300</v>
      </c>
      <c r="D331" s="50">
        <f>SUM(D320:D330)</f>
        <v>1144.6799999999998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155.32000000000016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93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53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54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51</v>
      </c>
      <c r="C362" s="3"/>
      <c r="D362" s="12"/>
    </row>
    <row r="363" spans="1:4" x14ac:dyDescent="0.3">
      <c r="A363" s="11" t="s">
        <v>2</v>
      </c>
      <c r="B363" s="55">
        <v>1600531048</v>
      </c>
      <c r="C363" s="4"/>
      <c r="D363" s="13"/>
    </row>
    <row r="364" spans="1:4" x14ac:dyDescent="0.3">
      <c r="A364" s="11" t="s">
        <v>3</v>
      </c>
      <c r="B364" s="3" t="s">
        <v>52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ht="24" x14ac:dyDescent="0.3">
      <c r="A371" s="26" t="s">
        <v>106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10</v>
      </c>
      <c r="C374" s="28"/>
      <c r="D374" s="29">
        <f>C370*11.45%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102</v>
      </c>
      <c r="C377" s="28"/>
      <c r="D377" s="29"/>
    </row>
    <row r="378" spans="1:4" x14ac:dyDescent="0.3">
      <c r="A378" s="26"/>
      <c r="B378" s="27" t="s">
        <v>18</v>
      </c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425</v>
      </c>
      <c r="D381" s="50">
        <f>SUM(D370:D380)</f>
        <v>0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425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93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53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54</v>
      </c>
      <c r="D400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51</v>
      </c>
      <c r="C412" s="3"/>
      <c r="D412" s="12"/>
    </row>
    <row r="413" spans="1:4" x14ac:dyDescent="0.3">
      <c r="A413" s="11" t="s">
        <v>2</v>
      </c>
      <c r="B413" s="55">
        <v>1600531048</v>
      </c>
      <c r="C413" s="4"/>
      <c r="D413" s="13"/>
    </row>
    <row r="414" spans="1:4" x14ac:dyDescent="0.3">
      <c r="A414" s="11" t="s">
        <v>3</v>
      </c>
      <c r="B414" s="3" t="s">
        <v>52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1300</v>
      </c>
      <c r="D420" s="29"/>
    </row>
    <row r="421" spans="1:4" ht="24" x14ac:dyDescent="0.3">
      <c r="A421" s="26" t="s">
        <v>106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10</v>
      </c>
      <c r="C424" s="28"/>
      <c r="D424" s="29">
        <f>C420*11.45%</f>
        <v>148.85</v>
      </c>
    </row>
    <row r="425" spans="1:4" x14ac:dyDescent="0.3">
      <c r="A425" s="26"/>
      <c r="B425" s="27" t="s">
        <v>11</v>
      </c>
      <c r="C425" s="28"/>
      <c r="D425" s="29">
        <v>343.75</v>
      </c>
    </row>
    <row r="426" spans="1:4" x14ac:dyDescent="0.3">
      <c r="A426" s="26"/>
      <c r="B426" s="27" t="s">
        <v>55</v>
      </c>
      <c r="C426" s="28"/>
      <c r="D426" s="29">
        <v>650</v>
      </c>
    </row>
    <row r="427" spans="1:4" x14ac:dyDescent="0.3">
      <c r="A427" s="26"/>
      <c r="B427" s="27" t="s">
        <v>102</v>
      </c>
      <c r="C427" s="28"/>
      <c r="D427" s="29"/>
    </row>
    <row r="428" spans="1:4" x14ac:dyDescent="0.3">
      <c r="A428" s="26"/>
      <c r="B428" s="27" t="s">
        <v>18</v>
      </c>
      <c r="C428" s="28"/>
      <c r="D428" s="29"/>
    </row>
    <row r="429" spans="1:4" x14ac:dyDescent="0.3">
      <c r="A429" s="26"/>
      <c r="B429" s="27"/>
      <c r="C429" s="28"/>
      <c r="D429" s="29"/>
    </row>
    <row r="430" spans="1:4" x14ac:dyDescent="0.3">
      <c r="A430" s="21"/>
      <c r="B430" s="8"/>
      <c r="C430" s="1"/>
      <c r="D430" s="20"/>
    </row>
    <row r="431" spans="1:4" x14ac:dyDescent="0.3">
      <c r="A431" s="43"/>
      <c r="B431" s="44" t="s">
        <v>12</v>
      </c>
      <c r="C431" s="46">
        <f>SUM(C420:C430)</f>
        <v>1300</v>
      </c>
      <c r="D431" s="50">
        <f>SUM(D420:D430)</f>
        <v>1142.5999999999999</v>
      </c>
    </row>
    <row r="432" spans="1:4" x14ac:dyDescent="0.3">
      <c r="A432" s="21"/>
      <c r="B432" s="3"/>
      <c r="C432" s="3"/>
      <c r="D432" s="22"/>
    </row>
    <row r="433" spans="1:4" ht="28.2" x14ac:dyDescent="0.3">
      <c r="A433" s="21"/>
      <c r="B433" s="45"/>
      <c r="C433" s="47" t="s">
        <v>13</v>
      </c>
      <c r="D433" s="51">
        <f>+C431-D431</f>
        <v>157.40000000000009</v>
      </c>
    </row>
    <row r="434" spans="1:4" x14ac:dyDescent="0.3">
      <c r="A434" s="21"/>
      <c r="B434" s="3"/>
      <c r="C434" s="3"/>
      <c r="D434" s="22"/>
    </row>
    <row r="435" spans="1:4" x14ac:dyDescent="0.3">
      <c r="A435" s="23"/>
      <c r="B435" s="4" t="s">
        <v>14</v>
      </c>
      <c r="C435" s="2"/>
      <c r="D435" s="24"/>
    </row>
    <row r="436" spans="1:4" ht="15" thickBot="1" x14ac:dyDescent="0.35">
      <c r="A436" s="23"/>
      <c r="B436" s="9"/>
      <c r="C436" s="9"/>
      <c r="D436" s="24"/>
    </row>
    <row r="437" spans="1:4" x14ac:dyDescent="0.3">
      <c r="A437" s="300" t="s">
        <v>28</v>
      </c>
      <c r="B437" s="300" t="s">
        <v>93</v>
      </c>
      <c r="C437" s="302" t="s">
        <v>30</v>
      </c>
      <c r="D437" s="303"/>
    </row>
    <row r="438" spans="1:4" ht="15" thickBot="1" x14ac:dyDescent="0.35">
      <c r="A438" s="301"/>
      <c r="B438" s="301"/>
      <c r="C438" s="304"/>
      <c r="D438" s="30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8" t="s">
        <v>20</v>
      </c>
      <c r="B449" s="35" t="s">
        <v>21</v>
      </c>
      <c r="C449" s="290" t="s">
        <v>53</v>
      </c>
      <c r="D449" s="291"/>
    </row>
    <row r="450" spans="1:4" ht="15" thickBot="1" x14ac:dyDescent="0.35">
      <c r="A450" s="36" t="s">
        <v>22</v>
      </c>
      <c r="B450" s="33" t="s">
        <v>23</v>
      </c>
      <c r="C450" s="292" t="s">
        <v>54</v>
      </c>
      <c r="D450" s="293"/>
    </row>
  </sheetData>
  <mergeCells count="63">
    <mergeCell ref="C449:D449"/>
    <mergeCell ref="C450:D450"/>
    <mergeCell ref="A405:D405"/>
    <mergeCell ref="A410:D410"/>
    <mergeCell ref="A437:A438"/>
    <mergeCell ref="B437:B438"/>
    <mergeCell ref="C437:D438"/>
    <mergeCell ref="C349:D349"/>
    <mergeCell ref="C350:D350"/>
    <mergeCell ref="A305:D305"/>
    <mergeCell ref="A310:D310"/>
    <mergeCell ref="A337:A338"/>
    <mergeCell ref="B337:B338"/>
    <mergeCell ref="C337:D33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9:D99"/>
    <mergeCell ref="C100:D100"/>
    <mergeCell ref="A55:D55"/>
    <mergeCell ref="A60:D60"/>
    <mergeCell ref="A87:A88"/>
    <mergeCell ref="B87:B88"/>
    <mergeCell ref="C87:D88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99:D399"/>
    <mergeCell ref="C400:D400"/>
    <mergeCell ref="A355:D355"/>
    <mergeCell ref="A360:D360"/>
    <mergeCell ref="A387:A388"/>
    <mergeCell ref="B387:B388"/>
    <mergeCell ref="C387:D388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D450"/>
  <sheetViews>
    <sheetView topLeftCell="A428" zoomScale="90" zoomScaleNormal="90" workbookViewId="0">
      <selection activeCell="E441" sqref="E441"/>
    </sheetView>
  </sheetViews>
  <sheetFormatPr baseColWidth="10" defaultRowHeight="14.4" x14ac:dyDescent="0.3"/>
  <cols>
    <col min="1" max="1" width="38" customWidth="1"/>
    <col min="2" max="2" width="36.109375" customWidth="1"/>
    <col min="3" max="3" width="17.33203125" customWidth="1"/>
    <col min="4" max="4" width="17.6640625" customWidth="1"/>
    <col min="5" max="5" width="32.109375" customWidth="1"/>
    <col min="6" max="7" width="11.5546875" customWidth="1"/>
  </cols>
  <sheetData>
    <row r="1" spans="1:4" ht="15" thickBot="1" x14ac:dyDescent="0.35"/>
    <row r="2" spans="1:4" ht="25.2" x14ac:dyDescent="0.3">
      <c r="A2" s="294"/>
      <c r="B2" s="295"/>
      <c r="C2" s="295"/>
      <c r="D2" s="296"/>
    </row>
    <row r="3" spans="1:4" x14ac:dyDescent="0.3">
      <c r="A3" s="31"/>
      <c r="B3" s="48"/>
      <c r="C3" s="2"/>
      <c r="D3" s="30"/>
    </row>
    <row r="4" spans="1:4" x14ac:dyDescent="0.3">
      <c r="A4" s="31"/>
      <c r="B4" s="49"/>
      <c r="C4" s="2"/>
      <c r="D4" s="30"/>
    </row>
    <row r="5" spans="1:4" x14ac:dyDescent="0.3">
      <c r="A5" s="31"/>
      <c r="B5" s="49"/>
      <c r="C5" s="2"/>
      <c r="D5" s="30"/>
    </row>
    <row r="6" spans="1:4" ht="15" thickBot="1" x14ac:dyDescent="0.35">
      <c r="A6" s="31"/>
      <c r="B6" s="2"/>
      <c r="C6" s="2"/>
      <c r="D6" s="30"/>
    </row>
    <row r="7" spans="1:4" ht="25.8" thickBot="1" x14ac:dyDescent="0.35">
      <c r="A7" s="297" t="s">
        <v>0</v>
      </c>
      <c r="B7" s="298"/>
      <c r="C7" s="298"/>
      <c r="D7" s="299"/>
    </row>
    <row r="8" spans="1:4" ht="25.2" x14ac:dyDescent="0.3">
      <c r="A8" s="52"/>
      <c r="B8" s="53"/>
      <c r="C8" s="53"/>
      <c r="D8" s="54"/>
    </row>
    <row r="9" spans="1:4" x14ac:dyDescent="0.3">
      <c r="A9" s="11" t="s">
        <v>1</v>
      </c>
      <c r="B9" s="3" t="s">
        <v>57</v>
      </c>
      <c r="C9" s="3"/>
      <c r="D9" s="12"/>
    </row>
    <row r="10" spans="1:4" x14ac:dyDescent="0.3">
      <c r="A10" s="11" t="s">
        <v>2</v>
      </c>
      <c r="B10" s="55">
        <v>1600344624</v>
      </c>
      <c r="C10" s="4"/>
      <c r="D10" s="13"/>
    </row>
    <row r="11" spans="1:4" x14ac:dyDescent="0.3">
      <c r="A11" s="11" t="s">
        <v>3</v>
      </c>
      <c r="B11" s="3" t="s">
        <v>58</v>
      </c>
      <c r="C11" s="4"/>
      <c r="D11" s="14"/>
    </row>
    <row r="12" spans="1:4" x14ac:dyDescent="0.3">
      <c r="A12" s="11" t="s">
        <v>26</v>
      </c>
      <c r="B12" s="3" t="s">
        <v>25</v>
      </c>
      <c r="C12" s="4"/>
      <c r="D12" s="15"/>
    </row>
    <row r="13" spans="1:4" x14ac:dyDescent="0.3">
      <c r="A13" s="11" t="s">
        <v>99</v>
      </c>
      <c r="B13" s="55">
        <v>2022</v>
      </c>
      <c r="C13" s="4"/>
      <c r="D13" s="15"/>
    </row>
    <row r="14" spans="1:4" x14ac:dyDescent="0.3">
      <c r="A14" s="16"/>
      <c r="B14" s="5"/>
      <c r="C14" s="5"/>
      <c r="D14" s="17"/>
    </row>
    <row r="15" spans="1:4" x14ac:dyDescent="0.3">
      <c r="A15" s="39" t="s">
        <v>94</v>
      </c>
      <c r="B15" s="40"/>
      <c r="C15" s="41" t="s">
        <v>5</v>
      </c>
      <c r="D15" s="42" t="s">
        <v>6</v>
      </c>
    </row>
    <row r="16" spans="1:4" x14ac:dyDescent="0.3">
      <c r="A16" s="18"/>
      <c r="B16" s="6"/>
      <c r="C16" s="7"/>
      <c r="D16" s="19"/>
    </row>
    <row r="17" spans="1:4" x14ac:dyDescent="0.3">
      <c r="A17" s="26" t="s">
        <v>16</v>
      </c>
      <c r="B17" s="27"/>
      <c r="C17" s="28">
        <v>1212</v>
      </c>
      <c r="D17" s="29"/>
    </row>
    <row r="18" spans="1:4" x14ac:dyDescent="0.3">
      <c r="A18" s="26" t="s">
        <v>106</v>
      </c>
      <c r="B18" s="27"/>
      <c r="C18" s="28"/>
      <c r="D18" s="29"/>
    </row>
    <row r="19" spans="1:4" x14ac:dyDescent="0.3">
      <c r="A19" s="26" t="s">
        <v>8</v>
      </c>
      <c r="B19" s="27"/>
      <c r="C19" s="28"/>
      <c r="D19" s="29"/>
    </row>
    <row r="20" spans="1:4" x14ac:dyDescent="0.3">
      <c r="A20" s="26" t="s">
        <v>9</v>
      </c>
      <c r="B20" s="27"/>
      <c r="C20" s="28"/>
      <c r="D20" s="29"/>
    </row>
    <row r="21" spans="1:4" x14ac:dyDescent="0.3">
      <c r="A21" s="26"/>
      <c r="B21" s="27" t="s">
        <v>10</v>
      </c>
      <c r="C21" s="28"/>
      <c r="D21" s="29">
        <f>C17*11.45%</f>
        <v>138.774</v>
      </c>
    </row>
    <row r="22" spans="1:4" x14ac:dyDescent="0.3">
      <c r="A22" s="26"/>
      <c r="B22" s="27" t="s">
        <v>11</v>
      </c>
      <c r="C22" s="28"/>
      <c r="D22" s="29"/>
    </row>
    <row r="23" spans="1:4" x14ac:dyDescent="0.3">
      <c r="A23" s="26"/>
      <c r="B23" s="27" t="s">
        <v>55</v>
      </c>
      <c r="C23" s="28"/>
      <c r="D23" s="29"/>
    </row>
    <row r="24" spans="1:4" x14ac:dyDescent="0.3">
      <c r="A24" s="26"/>
      <c r="B24" s="27" t="s">
        <v>101</v>
      </c>
      <c r="C24" s="28"/>
      <c r="D24" s="29"/>
    </row>
    <row r="25" spans="1:4" x14ac:dyDescent="0.3">
      <c r="A25" s="26"/>
      <c r="B25" s="27" t="s">
        <v>18</v>
      </c>
      <c r="C25" s="28"/>
      <c r="D25" s="29"/>
    </row>
    <row r="26" spans="1:4" x14ac:dyDescent="0.3">
      <c r="A26" s="26"/>
      <c r="B26" s="27"/>
      <c r="C26" s="28"/>
      <c r="D26" s="29"/>
    </row>
    <row r="27" spans="1:4" x14ac:dyDescent="0.3">
      <c r="A27" s="21"/>
      <c r="B27" s="8"/>
      <c r="C27" s="1"/>
      <c r="D27" s="20"/>
    </row>
    <row r="28" spans="1:4" x14ac:dyDescent="0.3">
      <c r="A28" s="43"/>
      <c r="B28" s="44" t="s">
        <v>12</v>
      </c>
      <c r="C28" s="46">
        <f>SUM(C17:C27)</f>
        <v>1212</v>
      </c>
      <c r="D28" s="50">
        <f>SUM(D17:D27)</f>
        <v>138.774</v>
      </c>
    </row>
    <row r="29" spans="1:4" x14ac:dyDescent="0.3">
      <c r="A29" s="21"/>
      <c r="B29" s="3"/>
      <c r="C29" s="3"/>
      <c r="D29" s="22"/>
    </row>
    <row r="30" spans="1:4" ht="28.2" x14ac:dyDescent="0.3">
      <c r="A30" s="21"/>
      <c r="B30" s="45"/>
      <c r="C30" s="47" t="s">
        <v>13</v>
      </c>
      <c r="D30" s="51">
        <f>+C28-D28</f>
        <v>1073.2260000000001</v>
      </c>
    </row>
    <row r="31" spans="1:4" x14ac:dyDescent="0.3">
      <c r="A31" s="21"/>
      <c r="B31" s="3"/>
      <c r="C31" s="3"/>
      <c r="D31" s="22"/>
    </row>
    <row r="32" spans="1:4" x14ac:dyDescent="0.3">
      <c r="A32" s="23"/>
      <c r="B32" s="4" t="s">
        <v>14</v>
      </c>
      <c r="C32" s="2"/>
      <c r="D32" s="24"/>
    </row>
    <row r="33" spans="1:4" ht="15" thickBot="1" x14ac:dyDescent="0.35">
      <c r="A33" s="23"/>
      <c r="B33" s="9"/>
      <c r="C33" s="9"/>
      <c r="D33" s="24"/>
    </row>
    <row r="34" spans="1:4" x14ac:dyDescent="0.3">
      <c r="A34" s="300" t="s">
        <v>28</v>
      </c>
      <c r="B34" s="300" t="s">
        <v>93</v>
      </c>
      <c r="C34" s="302" t="s">
        <v>30</v>
      </c>
      <c r="D34" s="303"/>
    </row>
    <row r="35" spans="1:4" ht="15" thickBot="1" x14ac:dyDescent="0.35">
      <c r="A35" s="301"/>
      <c r="B35" s="301"/>
      <c r="C35" s="304"/>
      <c r="D35" s="305"/>
    </row>
    <row r="36" spans="1:4" x14ac:dyDescent="0.3">
      <c r="A36" s="37"/>
      <c r="B36" s="34"/>
      <c r="C36" s="32"/>
      <c r="D36" s="25"/>
    </row>
    <row r="37" spans="1:4" x14ac:dyDescent="0.3">
      <c r="A37" s="37"/>
      <c r="B37" s="34"/>
      <c r="C37" s="32"/>
      <c r="D37" s="25"/>
    </row>
    <row r="38" spans="1:4" x14ac:dyDescent="0.3">
      <c r="A38" s="37"/>
      <c r="B38" s="34"/>
      <c r="C38" s="32"/>
      <c r="D38" s="25"/>
    </row>
    <row r="39" spans="1:4" x14ac:dyDescent="0.3">
      <c r="A39" s="37"/>
      <c r="B39" s="34"/>
      <c r="C39" s="32"/>
      <c r="D39" s="25"/>
    </row>
    <row r="40" spans="1:4" x14ac:dyDescent="0.3">
      <c r="A40" s="37"/>
      <c r="B40" s="34"/>
      <c r="C40" s="32"/>
      <c r="D40" s="25"/>
    </row>
    <row r="41" spans="1:4" x14ac:dyDescent="0.3">
      <c r="A41" s="37"/>
      <c r="B41" s="34"/>
      <c r="C41" s="32"/>
      <c r="D41" s="25"/>
    </row>
    <row r="42" spans="1:4" x14ac:dyDescent="0.3">
      <c r="A42" s="37"/>
      <c r="B42" s="34"/>
      <c r="C42" s="32"/>
      <c r="D42" s="25"/>
    </row>
    <row r="43" spans="1:4" x14ac:dyDescent="0.3">
      <c r="A43" s="37"/>
      <c r="B43" s="34"/>
      <c r="C43" s="32"/>
      <c r="D43" s="25"/>
    </row>
    <row r="44" spans="1:4" x14ac:dyDescent="0.3">
      <c r="A44" s="37"/>
      <c r="B44" s="34"/>
      <c r="C44" s="32"/>
      <c r="D44" s="25"/>
    </row>
    <row r="45" spans="1:4" x14ac:dyDescent="0.3">
      <c r="A45" s="37"/>
      <c r="B45" s="34"/>
      <c r="C45" s="32"/>
      <c r="D45" s="25"/>
    </row>
    <row r="46" spans="1:4" x14ac:dyDescent="0.3">
      <c r="A46" s="38" t="s">
        <v>20</v>
      </c>
      <c r="B46" s="35" t="s">
        <v>21</v>
      </c>
      <c r="C46" s="290" t="s">
        <v>59</v>
      </c>
      <c r="D46" s="291"/>
    </row>
    <row r="47" spans="1:4" ht="15" thickBot="1" x14ac:dyDescent="0.35">
      <c r="A47" s="36" t="s">
        <v>22</v>
      </c>
      <c r="B47" s="33" t="s">
        <v>23</v>
      </c>
      <c r="C47" s="292" t="s">
        <v>60</v>
      </c>
      <c r="D47" s="293"/>
    </row>
    <row r="54" spans="1:4" ht="15" thickBot="1" x14ac:dyDescent="0.35"/>
    <row r="55" spans="1:4" ht="25.2" x14ac:dyDescent="0.3">
      <c r="A55" s="294"/>
      <c r="B55" s="295"/>
      <c r="C55" s="295"/>
      <c r="D55" s="296"/>
    </row>
    <row r="56" spans="1:4" x14ac:dyDescent="0.3">
      <c r="A56" s="31"/>
      <c r="B56" s="48"/>
      <c r="C56" s="2"/>
      <c r="D56" s="30"/>
    </row>
    <row r="57" spans="1:4" x14ac:dyDescent="0.3">
      <c r="A57" s="31"/>
      <c r="B57" s="49"/>
      <c r="C57" s="2"/>
      <c r="D57" s="30"/>
    </row>
    <row r="58" spans="1:4" x14ac:dyDescent="0.3">
      <c r="A58" s="31"/>
      <c r="B58" s="49"/>
      <c r="C58" s="2"/>
      <c r="D58" s="30"/>
    </row>
    <row r="59" spans="1:4" ht="15" thickBot="1" x14ac:dyDescent="0.35">
      <c r="A59" s="31"/>
      <c r="B59" s="2"/>
      <c r="C59" s="2"/>
      <c r="D59" s="30"/>
    </row>
    <row r="60" spans="1:4" ht="25.8" thickBot="1" x14ac:dyDescent="0.35">
      <c r="A60" s="297" t="s">
        <v>0</v>
      </c>
      <c r="B60" s="298"/>
      <c r="C60" s="298"/>
      <c r="D60" s="299"/>
    </row>
    <row r="61" spans="1:4" ht="25.2" x14ac:dyDescent="0.3">
      <c r="A61" s="52"/>
      <c r="B61" s="53"/>
      <c r="C61" s="53"/>
      <c r="D61" s="54"/>
    </row>
    <row r="62" spans="1:4" x14ac:dyDescent="0.3">
      <c r="A62" s="11" t="s">
        <v>1</v>
      </c>
      <c r="B62" s="3" t="s">
        <v>57</v>
      </c>
      <c r="C62" s="3"/>
      <c r="D62" s="12"/>
    </row>
    <row r="63" spans="1:4" x14ac:dyDescent="0.3">
      <c r="A63" s="11" t="s">
        <v>2</v>
      </c>
      <c r="B63" s="55">
        <v>1600344624</v>
      </c>
      <c r="C63" s="4"/>
      <c r="D63" s="13"/>
    </row>
    <row r="64" spans="1:4" x14ac:dyDescent="0.3">
      <c r="A64" s="11" t="s">
        <v>3</v>
      </c>
      <c r="B64" s="3" t="s">
        <v>58</v>
      </c>
      <c r="C64" s="4"/>
      <c r="D64" s="14"/>
    </row>
    <row r="65" spans="1:4" x14ac:dyDescent="0.3">
      <c r="A65" s="11" t="s">
        <v>26</v>
      </c>
      <c r="B65" s="3" t="s">
        <v>112</v>
      </c>
      <c r="C65" s="4"/>
      <c r="D65" s="15"/>
    </row>
    <row r="66" spans="1:4" x14ac:dyDescent="0.3">
      <c r="A66" s="11" t="s">
        <v>99</v>
      </c>
      <c r="B66" s="55">
        <v>2022</v>
      </c>
      <c r="C66" s="4"/>
      <c r="D66" s="15"/>
    </row>
    <row r="67" spans="1:4" x14ac:dyDescent="0.3">
      <c r="A67" s="16"/>
      <c r="B67" s="5"/>
      <c r="C67" s="5"/>
      <c r="D67" s="17"/>
    </row>
    <row r="68" spans="1:4" x14ac:dyDescent="0.3">
      <c r="A68" s="39" t="s">
        <v>94</v>
      </c>
      <c r="B68" s="40"/>
      <c r="C68" s="41" t="s">
        <v>5</v>
      </c>
      <c r="D68" s="42" t="s">
        <v>6</v>
      </c>
    </row>
    <row r="69" spans="1:4" x14ac:dyDescent="0.3">
      <c r="A69" s="18"/>
      <c r="B69" s="6"/>
      <c r="C69" s="7"/>
      <c r="D69" s="19"/>
    </row>
    <row r="70" spans="1:4" x14ac:dyDescent="0.3">
      <c r="A70" s="26" t="s">
        <v>16</v>
      </c>
      <c r="B70" s="27"/>
      <c r="C70" s="28">
        <v>1212</v>
      </c>
      <c r="D70" s="29"/>
    </row>
    <row r="71" spans="1:4" x14ac:dyDescent="0.3">
      <c r="A71" s="26" t="s">
        <v>106</v>
      </c>
      <c r="B71" s="27"/>
      <c r="C71" s="28"/>
      <c r="D71" s="29"/>
    </row>
    <row r="72" spans="1:4" x14ac:dyDescent="0.3">
      <c r="A72" s="26" t="s">
        <v>8</v>
      </c>
      <c r="B72" s="27"/>
      <c r="C72" s="28"/>
      <c r="D72" s="29"/>
    </row>
    <row r="73" spans="1:4" x14ac:dyDescent="0.3">
      <c r="A73" s="26" t="s">
        <v>9</v>
      </c>
      <c r="B73" s="27"/>
      <c r="C73" s="28"/>
      <c r="D73" s="29"/>
    </row>
    <row r="74" spans="1:4" x14ac:dyDescent="0.3">
      <c r="A74" s="26"/>
      <c r="B74" s="27" t="s">
        <v>10</v>
      </c>
      <c r="C74" s="28"/>
      <c r="D74" s="29">
        <f>C70*11.45%</f>
        <v>138.774</v>
      </c>
    </row>
    <row r="75" spans="1:4" x14ac:dyDescent="0.3">
      <c r="A75" s="26"/>
      <c r="B75" s="27" t="s">
        <v>11</v>
      </c>
      <c r="C75" s="28"/>
      <c r="D75" s="29"/>
    </row>
    <row r="76" spans="1:4" x14ac:dyDescent="0.3">
      <c r="A76" s="26"/>
      <c r="B76" s="27" t="s">
        <v>55</v>
      </c>
      <c r="C76" s="28"/>
      <c r="D76" s="29"/>
    </row>
    <row r="77" spans="1:4" x14ac:dyDescent="0.3">
      <c r="A77" s="26"/>
      <c r="B77" s="27" t="s">
        <v>101</v>
      </c>
      <c r="C77" s="28"/>
      <c r="D77" s="29"/>
    </row>
    <row r="78" spans="1:4" x14ac:dyDescent="0.3">
      <c r="A78" s="26"/>
      <c r="B78" s="27" t="s">
        <v>18</v>
      </c>
      <c r="C78" s="28"/>
      <c r="D78" s="29"/>
    </row>
    <row r="79" spans="1:4" x14ac:dyDescent="0.3">
      <c r="A79" s="26"/>
      <c r="B79" s="27"/>
      <c r="C79" s="28"/>
      <c r="D79" s="29"/>
    </row>
    <row r="80" spans="1:4" x14ac:dyDescent="0.3">
      <c r="A80" s="21"/>
      <c r="B80" s="8"/>
      <c r="C80" s="1"/>
      <c r="D80" s="20"/>
    </row>
    <row r="81" spans="1:4" x14ac:dyDescent="0.3">
      <c r="A81" s="43"/>
      <c r="B81" s="44" t="s">
        <v>12</v>
      </c>
      <c r="C81" s="46">
        <f>SUM(C70:C80)</f>
        <v>1212</v>
      </c>
      <c r="D81" s="50">
        <f>SUM(D70:D80)</f>
        <v>138.774</v>
      </c>
    </row>
    <row r="82" spans="1:4" x14ac:dyDescent="0.3">
      <c r="A82" s="21"/>
      <c r="B82" s="3"/>
      <c r="C82" s="3"/>
      <c r="D82" s="22"/>
    </row>
    <row r="83" spans="1:4" ht="28.2" x14ac:dyDescent="0.3">
      <c r="A83" s="21"/>
      <c r="B83" s="45"/>
      <c r="C83" s="47" t="s">
        <v>13</v>
      </c>
      <c r="D83" s="51">
        <f>+C81-D81</f>
        <v>1073.2260000000001</v>
      </c>
    </row>
    <row r="84" spans="1:4" x14ac:dyDescent="0.3">
      <c r="A84" s="21"/>
      <c r="B84" s="3"/>
      <c r="C84" s="3"/>
      <c r="D84" s="22"/>
    </row>
    <row r="85" spans="1:4" x14ac:dyDescent="0.3">
      <c r="A85" s="23"/>
      <c r="B85" s="4" t="s">
        <v>14</v>
      </c>
      <c r="C85" s="2"/>
      <c r="D85" s="24"/>
    </row>
    <row r="86" spans="1:4" ht="15" thickBot="1" x14ac:dyDescent="0.35">
      <c r="A86" s="23"/>
      <c r="B86" s="9"/>
      <c r="C86" s="9"/>
      <c r="D86" s="24"/>
    </row>
    <row r="87" spans="1:4" x14ac:dyDescent="0.3">
      <c r="A87" s="300" t="s">
        <v>28</v>
      </c>
      <c r="B87" s="300" t="s">
        <v>93</v>
      </c>
      <c r="C87" s="302" t="s">
        <v>30</v>
      </c>
      <c r="D87" s="303"/>
    </row>
    <row r="88" spans="1:4" ht="15" thickBot="1" x14ac:dyDescent="0.35">
      <c r="A88" s="301"/>
      <c r="B88" s="301"/>
      <c r="C88" s="304"/>
      <c r="D88" s="305"/>
    </row>
    <row r="89" spans="1:4" x14ac:dyDescent="0.3">
      <c r="A89" s="37"/>
      <c r="B89" s="34"/>
      <c r="C89" s="32"/>
      <c r="D89" s="25"/>
    </row>
    <row r="90" spans="1:4" x14ac:dyDescent="0.3">
      <c r="A90" s="37"/>
      <c r="B90" s="34"/>
      <c r="C90" s="32"/>
      <c r="D90" s="25"/>
    </row>
    <row r="91" spans="1:4" x14ac:dyDescent="0.3">
      <c r="A91" s="37"/>
      <c r="B91" s="34"/>
      <c r="C91" s="32"/>
      <c r="D91" s="25"/>
    </row>
    <row r="92" spans="1:4" x14ac:dyDescent="0.3">
      <c r="A92" s="37"/>
      <c r="B92" s="34"/>
      <c r="C92" s="32"/>
      <c r="D92" s="25"/>
    </row>
    <row r="93" spans="1:4" x14ac:dyDescent="0.3">
      <c r="A93" s="37"/>
      <c r="B93" s="34"/>
      <c r="C93" s="32"/>
      <c r="D93" s="25"/>
    </row>
    <row r="94" spans="1:4" x14ac:dyDescent="0.3">
      <c r="A94" s="37"/>
      <c r="B94" s="34"/>
      <c r="C94" s="32"/>
      <c r="D94" s="25"/>
    </row>
    <row r="95" spans="1:4" x14ac:dyDescent="0.3">
      <c r="A95" s="37"/>
      <c r="B95" s="34"/>
      <c r="C95" s="32"/>
      <c r="D95" s="25"/>
    </row>
    <row r="96" spans="1:4" x14ac:dyDescent="0.3">
      <c r="A96" s="37"/>
      <c r="B96" s="34"/>
      <c r="C96" s="32"/>
      <c r="D96" s="25"/>
    </row>
    <row r="97" spans="1:4" x14ac:dyDescent="0.3">
      <c r="A97" s="37"/>
      <c r="B97" s="34"/>
      <c r="C97" s="32"/>
      <c r="D97" s="25"/>
    </row>
    <row r="98" spans="1:4" x14ac:dyDescent="0.3">
      <c r="A98" s="37"/>
      <c r="B98" s="34"/>
      <c r="C98" s="32"/>
      <c r="D98" s="25"/>
    </row>
    <row r="99" spans="1:4" x14ac:dyDescent="0.3">
      <c r="A99" s="38" t="s">
        <v>20</v>
      </c>
      <c r="B99" s="35" t="s">
        <v>21</v>
      </c>
      <c r="C99" s="290" t="s">
        <v>59</v>
      </c>
      <c r="D99" s="291"/>
    </row>
    <row r="100" spans="1:4" ht="15" thickBot="1" x14ac:dyDescent="0.35">
      <c r="A100" s="36" t="s">
        <v>22</v>
      </c>
      <c r="B100" s="33" t="s">
        <v>23</v>
      </c>
      <c r="C100" s="292" t="s">
        <v>60</v>
      </c>
      <c r="D100" s="293"/>
    </row>
    <row r="104" spans="1:4" ht="15" thickBot="1" x14ac:dyDescent="0.35"/>
    <row r="105" spans="1:4" ht="25.2" x14ac:dyDescent="0.3">
      <c r="A105" s="294"/>
      <c r="B105" s="295"/>
      <c r="C105" s="295"/>
      <c r="D105" s="296"/>
    </row>
    <row r="106" spans="1:4" x14ac:dyDescent="0.3">
      <c r="A106" s="31"/>
      <c r="B106" s="48"/>
      <c r="C106" s="2"/>
      <c r="D106" s="30"/>
    </row>
    <row r="107" spans="1:4" x14ac:dyDescent="0.3">
      <c r="A107" s="31"/>
      <c r="B107" s="49"/>
      <c r="C107" s="2"/>
      <c r="D107" s="30"/>
    </row>
    <row r="108" spans="1:4" x14ac:dyDescent="0.3">
      <c r="A108" s="31"/>
      <c r="B108" s="49"/>
      <c r="C108" s="2"/>
      <c r="D108" s="30"/>
    </row>
    <row r="109" spans="1:4" ht="15" thickBot="1" x14ac:dyDescent="0.35">
      <c r="A109" s="31"/>
      <c r="B109" s="2"/>
      <c r="C109" s="2"/>
      <c r="D109" s="30"/>
    </row>
    <row r="110" spans="1:4" ht="25.8" thickBot="1" x14ac:dyDescent="0.35">
      <c r="A110" s="297" t="s">
        <v>0</v>
      </c>
      <c r="B110" s="298"/>
      <c r="C110" s="298"/>
      <c r="D110" s="299"/>
    </row>
    <row r="111" spans="1:4" ht="25.2" x14ac:dyDescent="0.3">
      <c r="A111" s="52"/>
      <c r="B111" s="53"/>
      <c r="C111" s="53"/>
      <c r="D111" s="54"/>
    </row>
    <row r="112" spans="1:4" x14ac:dyDescent="0.3">
      <c r="A112" s="11" t="s">
        <v>1</v>
      </c>
      <c r="B112" s="3" t="s">
        <v>57</v>
      </c>
      <c r="C112" s="3"/>
      <c r="D112" s="12"/>
    </row>
    <row r="113" spans="1:4" x14ac:dyDescent="0.3">
      <c r="A113" s="11" t="s">
        <v>2</v>
      </c>
      <c r="B113" s="55">
        <v>1600344624</v>
      </c>
      <c r="C113" s="4"/>
      <c r="D113" s="13"/>
    </row>
    <row r="114" spans="1:4" x14ac:dyDescent="0.3">
      <c r="A114" s="11" t="s">
        <v>3</v>
      </c>
      <c r="B114" s="3" t="s">
        <v>58</v>
      </c>
      <c r="C114" s="4"/>
      <c r="D114" s="14"/>
    </row>
    <row r="115" spans="1:4" x14ac:dyDescent="0.3">
      <c r="A115" s="11" t="s">
        <v>26</v>
      </c>
      <c r="B115" s="3" t="s">
        <v>113</v>
      </c>
      <c r="C115" s="4"/>
      <c r="D115" s="15"/>
    </row>
    <row r="116" spans="1:4" x14ac:dyDescent="0.3">
      <c r="A116" s="11" t="s">
        <v>99</v>
      </c>
      <c r="B116" s="55">
        <v>2022</v>
      </c>
      <c r="C116" s="4"/>
      <c r="D116" s="15"/>
    </row>
    <row r="117" spans="1:4" x14ac:dyDescent="0.3">
      <c r="A117" s="16"/>
      <c r="B117" s="5"/>
      <c r="C117" s="5"/>
      <c r="D117" s="17"/>
    </row>
    <row r="118" spans="1:4" x14ac:dyDescent="0.3">
      <c r="A118" s="39" t="s">
        <v>94</v>
      </c>
      <c r="B118" s="40"/>
      <c r="C118" s="41" t="s">
        <v>5</v>
      </c>
      <c r="D118" s="42" t="s">
        <v>6</v>
      </c>
    </row>
    <row r="119" spans="1:4" x14ac:dyDescent="0.3">
      <c r="A119" s="18"/>
      <c r="B119" s="6"/>
      <c r="C119" s="7"/>
      <c r="D119" s="19"/>
    </row>
    <row r="120" spans="1:4" x14ac:dyDescent="0.3">
      <c r="A120" s="26" t="s">
        <v>16</v>
      </c>
      <c r="B120" s="27"/>
      <c r="C120" s="28">
        <v>1212</v>
      </c>
      <c r="D120" s="29"/>
    </row>
    <row r="121" spans="1:4" x14ac:dyDescent="0.3">
      <c r="A121" s="26" t="s">
        <v>106</v>
      </c>
      <c r="B121" s="27"/>
      <c r="C121" s="28"/>
      <c r="D121" s="29"/>
    </row>
    <row r="122" spans="1:4" x14ac:dyDescent="0.3">
      <c r="A122" s="26" t="s">
        <v>8</v>
      </c>
      <c r="B122" s="27"/>
      <c r="C122" s="28"/>
      <c r="D122" s="29"/>
    </row>
    <row r="123" spans="1:4" x14ac:dyDescent="0.3">
      <c r="A123" s="26" t="s">
        <v>9</v>
      </c>
      <c r="B123" s="27"/>
      <c r="C123" s="28"/>
      <c r="D123" s="29"/>
    </row>
    <row r="124" spans="1:4" x14ac:dyDescent="0.3">
      <c r="A124" s="26"/>
      <c r="B124" s="27" t="s">
        <v>10</v>
      </c>
      <c r="C124" s="28"/>
      <c r="D124" s="29">
        <f>C120*11.45%</f>
        <v>138.774</v>
      </c>
    </row>
    <row r="125" spans="1:4" x14ac:dyDescent="0.3">
      <c r="A125" s="26"/>
      <c r="B125" s="27" t="s">
        <v>11</v>
      </c>
      <c r="C125" s="28"/>
      <c r="D125" s="29"/>
    </row>
    <row r="126" spans="1:4" x14ac:dyDescent="0.3">
      <c r="A126" s="26"/>
      <c r="B126" s="27" t="s">
        <v>55</v>
      </c>
      <c r="C126" s="28"/>
      <c r="D126" s="29"/>
    </row>
    <row r="127" spans="1:4" x14ac:dyDescent="0.3">
      <c r="A127" s="26"/>
      <c r="B127" s="27" t="s">
        <v>101</v>
      </c>
      <c r="C127" s="28"/>
      <c r="D127" s="29">
        <v>83.34</v>
      </c>
    </row>
    <row r="128" spans="1:4" x14ac:dyDescent="0.3">
      <c r="A128" s="26"/>
      <c r="B128" s="27" t="s">
        <v>18</v>
      </c>
      <c r="C128" s="28"/>
      <c r="D128" s="29"/>
    </row>
    <row r="129" spans="1:4" x14ac:dyDescent="0.3">
      <c r="A129" s="26"/>
      <c r="B129" s="27"/>
      <c r="C129" s="28"/>
      <c r="D129" s="29"/>
    </row>
    <row r="130" spans="1:4" x14ac:dyDescent="0.3">
      <c r="A130" s="21"/>
      <c r="B130" s="8"/>
      <c r="C130" s="1"/>
      <c r="D130" s="20"/>
    </row>
    <row r="131" spans="1:4" x14ac:dyDescent="0.3">
      <c r="A131" s="43"/>
      <c r="B131" s="44" t="s">
        <v>12</v>
      </c>
      <c r="C131" s="46">
        <f>SUM(C120:C130)</f>
        <v>1212</v>
      </c>
      <c r="D131" s="50">
        <f>SUM(D120:D130)</f>
        <v>222.114</v>
      </c>
    </row>
    <row r="132" spans="1:4" x14ac:dyDescent="0.3">
      <c r="A132" s="21"/>
      <c r="B132" s="3"/>
      <c r="C132" s="3"/>
      <c r="D132" s="22"/>
    </row>
    <row r="133" spans="1:4" ht="28.2" x14ac:dyDescent="0.3">
      <c r="A133" s="21"/>
      <c r="B133" s="45"/>
      <c r="C133" s="47" t="s">
        <v>13</v>
      </c>
      <c r="D133" s="51">
        <f>+C131-D131</f>
        <v>989.88599999999997</v>
      </c>
    </row>
    <row r="134" spans="1:4" x14ac:dyDescent="0.3">
      <c r="A134" s="21"/>
      <c r="B134" s="3"/>
      <c r="C134" s="3"/>
      <c r="D134" s="22"/>
    </row>
    <row r="135" spans="1:4" x14ac:dyDescent="0.3">
      <c r="A135" s="23"/>
      <c r="B135" s="4" t="s">
        <v>14</v>
      </c>
      <c r="C135" s="2"/>
      <c r="D135" s="24"/>
    </row>
    <row r="136" spans="1:4" ht="15" thickBot="1" x14ac:dyDescent="0.35">
      <c r="A136" s="23"/>
      <c r="B136" s="9"/>
      <c r="C136" s="9"/>
      <c r="D136" s="24"/>
    </row>
    <row r="137" spans="1:4" x14ac:dyDescent="0.3">
      <c r="A137" s="300" t="s">
        <v>28</v>
      </c>
      <c r="B137" s="300" t="s">
        <v>93</v>
      </c>
      <c r="C137" s="302" t="s">
        <v>30</v>
      </c>
      <c r="D137" s="303"/>
    </row>
    <row r="138" spans="1:4" ht="15" thickBot="1" x14ac:dyDescent="0.35">
      <c r="A138" s="301"/>
      <c r="B138" s="301"/>
      <c r="C138" s="304"/>
      <c r="D138" s="305"/>
    </row>
    <row r="139" spans="1:4" x14ac:dyDescent="0.3">
      <c r="A139" s="37"/>
      <c r="B139" s="34"/>
      <c r="C139" s="32"/>
      <c r="D139" s="25"/>
    </row>
    <row r="140" spans="1:4" x14ac:dyDescent="0.3">
      <c r="A140" s="37"/>
      <c r="B140" s="34"/>
      <c r="C140" s="32"/>
      <c r="D140" s="25"/>
    </row>
    <row r="141" spans="1:4" x14ac:dyDescent="0.3">
      <c r="A141" s="37"/>
      <c r="B141" s="34"/>
      <c r="C141" s="32"/>
      <c r="D141" s="25"/>
    </row>
    <row r="142" spans="1:4" x14ac:dyDescent="0.3">
      <c r="A142" s="37"/>
      <c r="B142" s="34"/>
      <c r="C142" s="32"/>
      <c r="D142" s="25"/>
    </row>
    <row r="143" spans="1:4" x14ac:dyDescent="0.3">
      <c r="A143" s="37"/>
      <c r="B143" s="34"/>
      <c r="C143" s="32"/>
      <c r="D143" s="25"/>
    </row>
    <row r="144" spans="1:4" x14ac:dyDescent="0.3">
      <c r="A144" s="37"/>
      <c r="B144" s="34"/>
      <c r="C144" s="32"/>
      <c r="D144" s="25"/>
    </row>
    <row r="145" spans="1:4" x14ac:dyDescent="0.3">
      <c r="A145" s="37"/>
      <c r="B145" s="34"/>
      <c r="C145" s="32"/>
      <c r="D145" s="25"/>
    </row>
    <row r="146" spans="1:4" x14ac:dyDescent="0.3">
      <c r="A146" s="37"/>
      <c r="B146" s="34"/>
      <c r="C146" s="32"/>
      <c r="D146" s="25"/>
    </row>
    <row r="147" spans="1:4" x14ac:dyDescent="0.3">
      <c r="A147" s="37"/>
      <c r="B147" s="34"/>
      <c r="C147" s="32"/>
      <c r="D147" s="25"/>
    </row>
    <row r="148" spans="1:4" x14ac:dyDescent="0.3">
      <c r="A148" s="37"/>
      <c r="B148" s="34"/>
      <c r="C148" s="32"/>
      <c r="D148" s="25"/>
    </row>
    <row r="149" spans="1:4" x14ac:dyDescent="0.3">
      <c r="A149" s="38" t="s">
        <v>20</v>
      </c>
      <c r="B149" s="35" t="s">
        <v>21</v>
      </c>
      <c r="C149" s="290" t="s">
        <v>59</v>
      </c>
      <c r="D149" s="291"/>
    </row>
    <row r="150" spans="1:4" ht="15" thickBot="1" x14ac:dyDescent="0.35">
      <c r="A150" s="36" t="s">
        <v>22</v>
      </c>
      <c r="B150" s="33" t="s">
        <v>23</v>
      </c>
      <c r="C150" s="292" t="s">
        <v>60</v>
      </c>
      <c r="D150" s="293"/>
    </row>
    <row r="154" spans="1:4" ht="15" thickBot="1" x14ac:dyDescent="0.35"/>
    <row r="155" spans="1:4" ht="25.2" x14ac:dyDescent="0.3">
      <c r="A155" s="294"/>
      <c r="B155" s="295"/>
      <c r="C155" s="295"/>
      <c r="D155" s="296"/>
    </row>
    <row r="156" spans="1:4" x14ac:dyDescent="0.3">
      <c r="A156" s="31"/>
      <c r="B156" s="48"/>
      <c r="C156" s="2"/>
      <c r="D156" s="30"/>
    </row>
    <row r="157" spans="1:4" x14ac:dyDescent="0.3">
      <c r="A157" s="31"/>
      <c r="B157" s="49"/>
      <c r="C157" s="2"/>
      <c r="D157" s="30"/>
    </row>
    <row r="158" spans="1:4" x14ac:dyDescent="0.3">
      <c r="A158" s="31"/>
      <c r="B158" s="49"/>
      <c r="C158" s="2"/>
      <c r="D158" s="30"/>
    </row>
    <row r="159" spans="1:4" ht="15" thickBot="1" x14ac:dyDescent="0.35">
      <c r="A159" s="31"/>
      <c r="B159" s="2"/>
      <c r="C159" s="2"/>
      <c r="D159" s="30"/>
    </row>
    <row r="160" spans="1:4" ht="25.8" thickBot="1" x14ac:dyDescent="0.35">
      <c r="A160" s="297" t="s">
        <v>0</v>
      </c>
      <c r="B160" s="298"/>
      <c r="C160" s="298"/>
      <c r="D160" s="299"/>
    </row>
    <row r="161" spans="1:4" ht="25.2" x14ac:dyDescent="0.3">
      <c r="A161" s="52"/>
      <c r="B161" s="53"/>
      <c r="C161" s="53"/>
      <c r="D161" s="54"/>
    </row>
    <row r="162" spans="1:4" x14ac:dyDescent="0.3">
      <c r="A162" s="11" t="s">
        <v>1</v>
      </c>
      <c r="B162" s="3" t="s">
        <v>57</v>
      </c>
      <c r="C162" s="3"/>
      <c r="D162" s="12"/>
    </row>
    <row r="163" spans="1:4" x14ac:dyDescent="0.3">
      <c r="A163" s="11" t="s">
        <v>2</v>
      </c>
      <c r="B163" s="55">
        <v>1600344624</v>
      </c>
      <c r="C163" s="4"/>
      <c r="D163" s="13"/>
    </row>
    <row r="164" spans="1:4" x14ac:dyDescent="0.3">
      <c r="A164" s="11" t="s">
        <v>3</v>
      </c>
      <c r="B164" s="3" t="s">
        <v>58</v>
      </c>
      <c r="C164" s="4"/>
      <c r="D164" s="14"/>
    </row>
    <row r="165" spans="1:4" x14ac:dyDescent="0.3">
      <c r="A165" s="11" t="s">
        <v>26</v>
      </c>
      <c r="B165" s="3" t="s">
        <v>117</v>
      </c>
      <c r="C165" s="4"/>
      <c r="D165" s="15"/>
    </row>
    <row r="166" spans="1:4" x14ac:dyDescent="0.3">
      <c r="A166" s="11" t="s">
        <v>99</v>
      </c>
      <c r="B166" s="55">
        <v>2022</v>
      </c>
      <c r="C166" s="4"/>
      <c r="D166" s="15"/>
    </row>
    <row r="167" spans="1:4" x14ac:dyDescent="0.3">
      <c r="A167" s="16"/>
      <c r="B167" s="5"/>
      <c r="C167" s="5"/>
      <c r="D167" s="17"/>
    </row>
    <row r="168" spans="1:4" x14ac:dyDescent="0.3">
      <c r="A168" s="39" t="s">
        <v>94</v>
      </c>
      <c r="B168" s="40"/>
      <c r="C168" s="41" t="s">
        <v>5</v>
      </c>
      <c r="D168" s="42" t="s">
        <v>6</v>
      </c>
    </row>
    <row r="169" spans="1:4" x14ac:dyDescent="0.3">
      <c r="A169" s="18"/>
      <c r="B169" s="6"/>
      <c r="C169" s="7"/>
      <c r="D169" s="19"/>
    </row>
    <row r="170" spans="1:4" x14ac:dyDescent="0.3">
      <c r="A170" s="26" t="s">
        <v>16</v>
      </c>
      <c r="B170" s="27"/>
      <c r="C170" s="28">
        <v>1212</v>
      </c>
      <c r="D170" s="29"/>
    </row>
    <row r="171" spans="1:4" x14ac:dyDescent="0.3">
      <c r="A171" s="26" t="s">
        <v>106</v>
      </c>
      <c r="B171" s="27"/>
      <c r="C171" s="28"/>
      <c r="D171" s="29"/>
    </row>
    <row r="172" spans="1:4" x14ac:dyDescent="0.3">
      <c r="A172" s="26" t="s">
        <v>8</v>
      </c>
      <c r="B172" s="27"/>
      <c r="C172" s="28"/>
      <c r="D172" s="29"/>
    </row>
    <row r="173" spans="1:4" x14ac:dyDescent="0.3">
      <c r="A173" s="26" t="s">
        <v>9</v>
      </c>
      <c r="B173" s="27"/>
      <c r="C173" s="28"/>
      <c r="D173" s="29"/>
    </row>
    <row r="174" spans="1:4" x14ac:dyDescent="0.3">
      <c r="A174" s="26"/>
      <c r="B174" s="27" t="s">
        <v>10</v>
      </c>
      <c r="C174" s="28"/>
      <c r="D174" s="29">
        <f>C170*11.45%</f>
        <v>138.774</v>
      </c>
    </row>
    <row r="175" spans="1:4" x14ac:dyDescent="0.3">
      <c r="A175" s="26"/>
      <c r="B175" s="27" t="s">
        <v>11</v>
      </c>
      <c r="C175" s="28"/>
      <c r="D175" s="29"/>
    </row>
    <row r="176" spans="1:4" x14ac:dyDescent="0.3">
      <c r="A176" s="26"/>
      <c r="B176" s="27" t="s">
        <v>55</v>
      </c>
      <c r="C176" s="28"/>
      <c r="D176" s="29"/>
    </row>
    <row r="177" spans="1:4" x14ac:dyDescent="0.3">
      <c r="A177" s="26"/>
      <c r="B177" s="27" t="s">
        <v>101</v>
      </c>
      <c r="C177" s="28"/>
      <c r="D177" s="29"/>
    </row>
    <row r="178" spans="1:4" x14ac:dyDescent="0.3">
      <c r="A178" s="26"/>
      <c r="B178" s="27" t="s">
        <v>18</v>
      </c>
      <c r="C178" s="28"/>
      <c r="D178" s="29"/>
    </row>
    <row r="179" spans="1:4" x14ac:dyDescent="0.3">
      <c r="A179" s="26"/>
      <c r="B179" s="27"/>
      <c r="C179" s="28"/>
      <c r="D179" s="29"/>
    </row>
    <row r="180" spans="1:4" x14ac:dyDescent="0.3">
      <c r="A180" s="21"/>
      <c r="B180" s="8"/>
      <c r="C180" s="1"/>
      <c r="D180" s="20"/>
    </row>
    <row r="181" spans="1:4" x14ac:dyDescent="0.3">
      <c r="A181" s="43"/>
      <c r="B181" s="44" t="s">
        <v>12</v>
      </c>
      <c r="C181" s="46">
        <f>SUM(C170:C180)</f>
        <v>1212</v>
      </c>
      <c r="D181" s="50">
        <f>SUM(D170:D180)</f>
        <v>138.774</v>
      </c>
    </row>
    <row r="182" spans="1:4" x14ac:dyDescent="0.3">
      <c r="A182" s="21"/>
      <c r="B182" s="3"/>
      <c r="C182" s="3"/>
      <c r="D182" s="22"/>
    </row>
    <row r="183" spans="1:4" ht="28.2" x14ac:dyDescent="0.3">
      <c r="A183" s="21"/>
      <c r="B183" s="45"/>
      <c r="C183" s="47" t="s">
        <v>13</v>
      </c>
      <c r="D183" s="51">
        <f>+C181-D181</f>
        <v>1073.2260000000001</v>
      </c>
    </row>
    <row r="184" spans="1:4" x14ac:dyDescent="0.3">
      <c r="A184" s="21"/>
      <c r="B184" s="3"/>
      <c r="C184" s="3"/>
      <c r="D184" s="22"/>
    </row>
    <row r="185" spans="1:4" x14ac:dyDescent="0.3">
      <c r="A185" s="23"/>
      <c r="B185" s="4" t="s">
        <v>14</v>
      </c>
      <c r="C185" s="2"/>
      <c r="D185" s="24"/>
    </row>
    <row r="186" spans="1:4" ht="15" thickBot="1" x14ac:dyDescent="0.35">
      <c r="A186" s="23"/>
      <c r="B186" s="9"/>
      <c r="C186" s="9"/>
      <c r="D186" s="24"/>
    </row>
    <row r="187" spans="1:4" x14ac:dyDescent="0.3">
      <c r="A187" s="300" t="s">
        <v>28</v>
      </c>
      <c r="B187" s="300" t="s">
        <v>93</v>
      </c>
      <c r="C187" s="302" t="s">
        <v>30</v>
      </c>
      <c r="D187" s="303"/>
    </row>
    <row r="188" spans="1:4" ht="15" thickBot="1" x14ac:dyDescent="0.35">
      <c r="A188" s="301"/>
      <c r="B188" s="301"/>
      <c r="C188" s="304"/>
      <c r="D188" s="305"/>
    </row>
    <row r="189" spans="1:4" x14ac:dyDescent="0.3">
      <c r="A189" s="37"/>
      <c r="B189" s="34"/>
      <c r="C189" s="32"/>
      <c r="D189" s="25"/>
    </row>
    <row r="190" spans="1:4" x14ac:dyDescent="0.3">
      <c r="A190" s="37"/>
      <c r="B190" s="34"/>
      <c r="C190" s="32"/>
      <c r="D190" s="25"/>
    </row>
    <row r="191" spans="1:4" x14ac:dyDescent="0.3">
      <c r="A191" s="37"/>
      <c r="B191" s="34"/>
      <c r="C191" s="32"/>
      <c r="D191" s="25"/>
    </row>
    <row r="192" spans="1:4" x14ac:dyDescent="0.3">
      <c r="A192" s="37"/>
      <c r="B192" s="34"/>
      <c r="C192" s="32"/>
      <c r="D192" s="25"/>
    </row>
    <row r="193" spans="1:4" x14ac:dyDescent="0.3">
      <c r="A193" s="37"/>
      <c r="B193" s="34"/>
      <c r="C193" s="32"/>
      <c r="D193" s="25"/>
    </row>
    <row r="194" spans="1:4" x14ac:dyDescent="0.3">
      <c r="A194" s="37"/>
      <c r="B194" s="34"/>
      <c r="C194" s="32"/>
      <c r="D194" s="25"/>
    </row>
    <row r="195" spans="1:4" x14ac:dyDescent="0.3">
      <c r="A195" s="37"/>
      <c r="B195" s="34"/>
      <c r="C195" s="32"/>
      <c r="D195" s="25"/>
    </row>
    <row r="196" spans="1:4" x14ac:dyDescent="0.3">
      <c r="A196" s="37"/>
      <c r="B196" s="34"/>
      <c r="C196" s="32"/>
      <c r="D196" s="25"/>
    </row>
    <row r="197" spans="1:4" x14ac:dyDescent="0.3">
      <c r="A197" s="37"/>
      <c r="B197" s="34"/>
      <c r="C197" s="32"/>
      <c r="D197" s="25"/>
    </row>
    <row r="198" spans="1:4" x14ac:dyDescent="0.3">
      <c r="A198" s="37"/>
      <c r="B198" s="34"/>
      <c r="C198" s="32"/>
      <c r="D198" s="25"/>
    </row>
    <row r="199" spans="1:4" x14ac:dyDescent="0.3">
      <c r="A199" s="38" t="s">
        <v>20</v>
      </c>
      <c r="B199" s="35" t="s">
        <v>21</v>
      </c>
      <c r="C199" s="290" t="s">
        <v>59</v>
      </c>
      <c r="D199" s="291"/>
    </row>
    <row r="200" spans="1:4" ht="15" thickBot="1" x14ac:dyDescent="0.35">
      <c r="A200" s="36" t="s">
        <v>22</v>
      </c>
      <c r="B200" s="33" t="s">
        <v>23</v>
      </c>
      <c r="C200" s="292" t="s">
        <v>60</v>
      </c>
      <c r="D200" s="293"/>
    </row>
    <row r="204" spans="1:4" ht="15" thickBot="1" x14ac:dyDescent="0.35"/>
    <row r="205" spans="1:4" ht="25.2" x14ac:dyDescent="0.3">
      <c r="A205" s="294"/>
      <c r="B205" s="295"/>
      <c r="C205" s="295"/>
      <c r="D205" s="296"/>
    </row>
    <row r="206" spans="1:4" x14ac:dyDescent="0.3">
      <c r="A206" s="31"/>
      <c r="B206" s="48"/>
      <c r="C206" s="2"/>
      <c r="D206" s="30"/>
    </row>
    <row r="207" spans="1:4" x14ac:dyDescent="0.3">
      <c r="A207" s="31"/>
      <c r="B207" s="49"/>
      <c r="C207" s="2"/>
      <c r="D207" s="30"/>
    </row>
    <row r="208" spans="1:4" x14ac:dyDescent="0.3">
      <c r="A208" s="31"/>
      <c r="B208" s="49"/>
      <c r="C208" s="2"/>
      <c r="D208" s="30"/>
    </row>
    <row r="209" spans="1:4" ht="15" thickBot="1" x14ac:dyDescent="0.35">
      <c r="A209" s="31"/>
      <c r="B209" s="2"/>
      <c r="C209" s="2"/>
      <c r="D209" s="30"/>
    </row>
    <row r="210" spans="1:4" ht="25.8" thickBot="1" x14ac:dyDescent="0.35">
      <c r="A210" s="297" t="s">
        <v>0</v>
      </c>
      <c r="B210" s="298"/>
      <c r="C210" s="298"/>
      <c r="D210" s="299"/>
    </row>
    <row r="211" spans="1:4" ht="25.2" x14ac:dyDescent="0.3">
      <c r="A211" s="52"/>
      <c r="B211" s="53"/>
      <c r="C211" s="53"/>
      <c r="D211" s="54"/>
    </row>
    <row r="212" spans="1:4" x14ac:dyDescent="0.3">
      <c r="A212" s="11" t="s">
        <v>1</v>
      </c>
      <c r="B212" s="3" t="s">
        <v>57</v>
      </c>
      <c r="C212" s="3"/>
      <c r="D212" s="12"/>
    </row>
    <row r="213" spans="1:4" x14ac:dyDescent="0.3">
      <c r="A213" s="11" t="s">
        <v>2</v>
      </c>
      <c r="B213" s="55">
        <v>1600344624</v>
      </c>
      <c r="C213" s="4"/>
      <c r="D213" s="13"/>
    </row>
    <row r="214" spans="1:4" x14ac:dyDescent="0.3">
      <c r="A214" s="11" t="s">
        <v>3</v>
      </c>
      <c r="B214" s="3" t="s">
        <v>58</v>
      </c>
      <c r="C214" s="4"/>
      <c r="D214" s="14"/>
    </row>
    <row r="215" spans="1:4" x14ac:dyDescent="0.3">
      <c r="A215" s="11" t="s">
        <v>26</v>
      </c>
      <c r="B215" s="3" t="s">
        <v>119</v>
      </c>
      <c r="C215" s="4"/>
      <c r="D215" s="15"/>
    </row>
    <row r="216" spans="1:4" x14ac:dyDescent="0.3">
      <c r="A216" s="11" t="s">
        <v>99</v>
      </c>
      <c r="B216" s="55">
        <v>2022</v>
      </c>
      <c r="C216" s="4"/>
      <c r="D216" s="15"/>
    </row>
    <row r="217" spans="1:4" x14ac:dyDescent="0.3">
      <c r="A217" s="16"/>
      <c r="B217" s="5"/>
      <c r="C217" s="5"/>
      <c r="D217" s="17"/>
    </row>
    <row r="218" spans="1:4" x14ac:dyDescent="0.3">
      <c r="A218" s="39" t="s">
        <v>94</v>
      </c>
      <c r="B218" s="40"/>
      <c r="C218" s="41" t="s">
        <v>5</v>
      </c>
      <c r="D218" s="42" t="s">
        <v>6</v>
      </c>
    </row>
    <row r="219" spans="1:4" x14ac:dyDescent="0.3">
      <c r="A219" s="18"/>
      <c r="B219" s="6"/>
      <c r="C219" s="7"/>
      <c r="D219" s="19"/>
    </row>
    <row r="220" spans="1:4" x14ac:dyDescent="0.3">
      <c r="A220" s="26" t="s">
        <v>16</v>
      </c>
      <c r="B220" s="27"/>
      <c r="C220" s="28">
        <v>1212</v>
      </c>
      <c r="D220" s="29"/>
    </row>
    <row r="221" spans="1:4" x14ac:dyDescent="0.3">
      <c r="A221" s="26" t="s">
        <v>106</v>
      </c>
      <c r="B221" s="27"/>
      <c r="C221" s="28"/>
      <c r="D221" s="29"/>
    </row>
    <row r="222" spans="1:4" x14ac:dyDescent="0.3">
      <c r="A222" s="26" t="s">
        <v>8</v>
      </c>
      <c r="B222" s="27"/>
      <c r="C222" s="28"/>
      <c r="D222" s="29"/>
    </row>
    <row r="223" spans="1:4" x14ac:dyDescent="0.3">
      <c r="A223" s="26" t="s">
        <v>9</v>
      </c>
      <c r="B223" s="27"/>
      <c r="C223" s="28"/>
      <c r="D223" s="29"/>
    </row>
    <row r="224" spans="1:4" x14ac:dyDescent="0.3">
      <c r="A224" s="26"/>
      <c r="B224" s="27" t="s">
        <v>10</v>
      </c>
      <c r="C224" s="28"/>
      <c r="D224" s="29">
        <f>C220*11.45%</f>
        <v>138.774</v>
      </c>
    </row>
    <row r="225" spans="1:4" x14ac:dyDescent="0.3">
      <c r="A225" s="26"/>
      <c r="B225" s="27" t="s">
        <v>11</v>
      </c>
      <c r="C225" s="28"/>
      <c r="D225" s="29"/>
    </row>
    <row r="226" spans="1:4" x14ac:dyDescent="0.3">
      <c r="A226" s="26"/>
      <c r="B226" s="27" t="s">
        <v>55</v>
      </c>
      <c r="C226" s="28"/>
      <c r="D226" s="29"/>
    </row>
    <row r="227" spans="1:4" x14ac:dyDescent="0.3">
      <c r="A227" s="26"/>
      <c r="B227" s="27" t="s">
        <v>101</v>
      </c>
      <c r="C227" s="28"/>
      <c r="D227" s="29"/>
    </row>
    <row r="228" spans="1:4" x14ac:dyDescent="0.3">
      <c r="A228" s="26"/>
      <c r="B228" s="27" t="s">
        <v>18</v>
      </c>
      <c r="C228" s="28"/>
      <c r="D228" s="29"/>
    </row>
    <row r="229" spans="1:4" x14ac:dyDescent="0.3">
      <c r="A229" s="26"/>
      <c r="B229" s="27"/>
      <c r="C229" s="28"/>
      <c r="D229" s="29"/>
    </row>
    <row r="230" spans="1:4" x14ac:dyDescent="0.3">
      <c r="A230" s="21"/>
      <c r="B230" s="8"/>
      <c r="C230" s="1"/>
      <c r="D230" s="20"/>
    </row>
    <row r="231" spans="1:4" x14ac:dyDescent="0.3">
      <c r="A231" s="43"/>
      <c r="B231" s="44" t="s">
        <v>12</v>
      </c>
      <c r="C231" s="46">
        <f>SUM(C220:C230)</f>
        <v>1212</v>
      </c>
      <c r="D231" s="50">
        <f>SUM(D220:D230)</f>
        <v>138.774</v>
      </c>
    </row>
    <row r="232" spans="1:4" x14ac:dyDescent="0.3">
      <c r="A232" s="21"/>
      <c r="B232" s="3"/>
      <c r="C232" s="3"/>
      <c r="D232" s="22"/>
    </row>
    <row r="233" spans="1:4" ht="28.2" x14ac:dyDescent="0.3">
      <c r="A233" s="21"/>
      <c r="B233" s="45"/>
      <c r="C233" s="47" t="s">
        <v>13</v>
      </c>
      <c r="D233" s="51">
        <f>+C231-D231</f>
        <v>1073.2260000000001</v>
      </c>
    </row>
    <row r="234" spans="1:4" x14ac:dyDescent="0.3">
      <c r="A234" s="21"/>
      <c r="B234" s="3"/>
      <c r="C234" s="3"/>
      <c r="D234" s="22"/>
    </row>
    <row r="235" spans="1:4" x14ac:dyDescent="0.3">
      <c r="A235" s="23"/>
      <c r="B235" s="4" t="s">
        <v>14</v>
      </c>
      <c r="C235" s="2"/>
      <c r="D235" s="24"/>
    </row>
    <row r="236" spans="1:4" ht="15" thickBot="1" x14ac:dyDescent="0.35">
      <c r="A236" s="23"/>
      <c r="B236" s="9"/>
      <c r="C236" s="9"/>
      <c r="D236" s="24"/>
    </row>
    <row r="237" spans="1:4" x14ac:dyDescent="0.3">
      <c r="A237" s="300" t="s">
        <v>28</v>
      </c>
      <c r="B237" s="300" t="s">
        <v>93</v>
      </c>
      <c r="C237" s="302" t="s">
        <v>30</v>
      </c>
      <c r="D237" s="303"/>
    </row>
    <row r="238" spans="1:4" ht="15" thickBot="1" x14ac:dyDescent="0.35">
      <c r="A238" s="301"/>
      <c r="B238" s="301"/>
      <c r="C238" s="304"/>
      <c r="D238" s="305"/>
    </row>
    <row r="239" spans="1:4" x14ac:dyDescent="0.3">
      <c r="A239" s="37"/>
      <c r="B239" s="34"/>
      <c r="C239" s="32"/>
      <c r="D239" s="25"/>
    </row>
    <row r="240" spans="1:4" x14ac:dyDescent="0.3">
      <c r="A240" s="37"/>
      <c r="B240" s="34"/>
      <c r="C240" s="32"/>
      <c r="D240" s="25"/>
    </row>
    <row r="241" spans="1:4" x14ac:dyDescent="0.3">
      <c r="A241" s="37"/>
      <c r="B241" s="34"/>
      <c r="C241" s="32"/>
      <c r="D241" s="25"/>
    </row>
    <row r="242" spans="1:4" x14ac:dyDescent="0.3">
      <c r="A242" s="37"/>
      <c r="B242" s="34"/>
      <c r="C242" s="32"/>
      <c r="D242" s="25"/>
    </row>
    <row r="243" spans="1:4" x14ac:dyDescent="0.3">
      <c r="A243" s="37"/>
      <c r="B243" s="34"/>
      <c r="C243" s="32"/>
      <c r="D243" s="25"/>
    </row>
    <row r="244" spans="1:4" x14ac:dyDescent="0.3">
      <c r="A244" s="37"/>
      <c r="B244" s="34"/>
      <c r="C244" s="32"/>
      <c r="D244" s="25"/>
    </row>
    <row r="245" spans="1:4" x14ac:dyDescent="0.3">
      <c r="A245" s="37"/>
      <c r="B245" s="34"/>
      <c r="C245" s="32"/>
      <c r="D245" s="25"/>
    </row>
    <row r="246" spans="1:4" x14ac:dyDescent="0.3">
      <c r="A246" s="37"/>
      <c r="B246" s="34"/>
      <c r="C246" s="32"/>
      <c r="D246" s="25"/>
    </row>
    <row r="247" spans="1:4" x14ac:dyDescent="0.3">
      <c r="A247" s="37"/>
      <c r="B247" s="34"/>
      <c r="C247" s="32"/>
      <c r="D247" s="25"/>
    </row>
    <row r="248" spans="1:4" x14ac:dyDescent="0.3">
      <c r="A248" s="37"/>
      <c r="B248" s="34"/>
      <c r="C248" s="32"/>
      <c r="D248" s="25"/>
    </row>
    <row r="249" spans="1:4" x14ac:dyDescent="0.3">
      <c r="A249" s="38" t="s">
        <v>20</v>
      </c>
      <c r="B249" s="35" t="s">
        <v>21</v>
      </c>
      <c r="C249" s="290" t="s">
        <v>59</v>
      </c>
      <c r="D249" s="291"/>
    </row>
    <row r="250" spans="1:4" ht="15" thickBot="1" x14ac:dyDescent="0.35">
      <c r="A250" s="36" t="s">
        <v>22</v>
      </c>
      <c r="B250" s="33" t="s">
        <v>23</v>
      </c>
      <c r="C250" s="292" t="s">
        <v>60</v>
      </c>
      <c r="D250" s="293"/>
    </row>
    <row r="254" spans="1:4" ht="15" thickBot="1" x14ac:dyDescent="0.35"/>
    <row r="255" spans="1:4" ht="25.2" x14ac:dyDescent="0.3">
      <c r="A255" s="294"/>
      <c r="B255" s="295"/>
      <c r="C255" s="295"/>
      <c r="D255" s="296"/>
    </row>
    <row r="256" spans="1:4" x14ac:dyDescent="0.3">
      <c r="A256" s="31"/>
      <c r="B256" s="48"/>
      <c r="C256" s="2"/>
      <c r="D256" s="30"/>
    </row>
    <row r="257" spans="1:4" x14ac:dyDescent="0.3">
      <c r="A257" s="31"/>
      <c r="B257" s="49"/>
      <c r="C257" s="2"/>
      <c r="D257" s="30"/>
    </row>
    <row r="258" spans="1:4" x14ac:dyDescent="0.3">
      <c r="A258" s="31"/>
      <c r="B258" s="49"/>
      <c r="C258" s="2"/>
      <c r="D258" s="30"/>
    </row>
    <row r="259" spans="1:4" ht="15" thickBot="1" x14ac:dyDescent="0.35">
      <c r="A259" s="31"/>
      <c r="B259" s="2"/>
      <c r="C259" s="2"/>
      <c r="D259" s="30"/>
    </row>
    <row r="260" spans="1:4" ht="25.8" thickBot="1" x14ac:dyDescent="0.35">
      <c r="A260" s="297" t="s">
        <v>0</v>
      </c>
      <c r="B260" s="298"/>
      <c r="C260" s="298"/>
      <c r="D260" s="299"/>
    </row>
    <row r="261" spans="1:4" ht="25.2" x14ac:dyDescent="0.3">
      <c r="A261" s="52"/>
      <c r="B261" s="53"/>
      <c r="C261" s="53"/>
      <c r="D261" s="54"/>
    </row>
    <row r="262" spans="1:4" x14ac:dyDescent="0.3">
      <c r="A262" s="11" t="s">
        <v>1</v>
      </c>
      <c r="B262" s="3" t="s">
        <v>57</v>
      </c>
      <c r="C262" s="3"/>
      <c r="D262" s="12"/>
    </row>
    <row r="263" spans="1:4" x14ac:dyDescent="0.3">
      <c r="A263" s="11" t="s">
        <v>2</v>
      </c>
      <c r="B263" s="55">
        <v>1600344624</v>
      </c>
      <c r="C263" s="4"/>
      <c r="D263" s="13"/>
    </row>
    <row r="264" spans="1:4" x14ac:dyDescent="0.3">
      <c r="A264" s="11" t="s">
        <v>3</v>
      </c>
      <c r="B264" s="3" t="s">
        <v>58</v>
      </c>
      <c r="C264" s="4"/>
      <c r="D264" s="14"/>
    </row>
    <row r="265" spans="1:4" x14ac:dyDescent="0.3">
      <c r="A265" s="11" t="s">
        <v>26</v>
      </c>
      <c r="B265" s="3" t="s">
        <v>120</v>
      </c>
      <c r="C265" s="4"/>
      <c r="D265" s="15"/>
    </row>
    <row r="266" spans="1:4" x14ac:dyDescent="0.3">
      <c r="A266" s="11" t="s">
        <v>99</v>
      </c>
      <c r="B266" s="55">
        <v>2022</v>
      </c>
      <c r="C266" s="4"/>
      <c r="D266" s="15"/>
    </row>
    <row r="267" spans="1:4" x14ac:dyDescent="0.3">
      <c r="A267" s="16"/>
      <c r="B267" s="5"/>
      <c r="C267" s="5"/>
      <c r="D267" s="17"/>
    </row>
    <row r="268" spans="1:4" x14ac:dyDescent="0.3">
      <c r="A268" s="39" t="s">
        <v>94</v>
      </c>
      <c r="B268" s="40"/>
      <c r="C268" s="41" t="s">
        <v>5</v>
      </c>
      <c r="D268" s="42" t="s">
        <v>6</v>
      </c>
    </row>
    <row r="269" spans="1:4" x14ac:dyDescent="0.3">
      <c r="A269" s="18"/>
      <c r="B269" s="6"/>
      <c r="C269" s="7"/>
      <c r="D269" s="19"/>
    </row>
    <row r="270" spans="1:4" x14ac:dyDescent="0.3">
      <c r="A270" s="26" t="s">
        <v>16</v>
      </c>
      <c r="B270" s="27"/>
      <c r="C270" s="28">
        <v>1212</v>
      </c>
      <c r="D270" s="29"/>
    </row>
    <row r="271" spans="1:4" x14ac:dyDescent="0.3">
      <c r="A271" s="26" t="s">
        <v>106</v>
      </c>
      <c r="B271" s="27"/>
      <c r="C271" s="28"/>
      <c r="D271" s="29"/>
    </row>
    <row r="272" spans="1:4" x14ac:dyDescent="0.3">
      <c r="A272" s="26" t="s">
        <v>8</v>
      </c>
      <c r="B272" s="27"/>
      <c r="C272" s="28"/>
      <c r="D272" s="29"/>
    </row>
    <row r="273" spans="1:4" x14ac:dyDescent="0.3">
      <c r="A273" s="26" t="s">
        <v>9</v>
      </c>
      <c r="B273" s="27"/>
      <c r="C273" s="28"/>
      <c r="D273" s="29"/>
    </row>
    <row r="274" spans="1:4" x14ac:dyDescent="0.3">
      <c r="A274" s="26"/>
      <c r="B274" s="27" t="s">
        <v>10</v>
      </c>
      <c r="C274" s="28"/>
      <c r="D274" s="29">
        <f>C270*11.45%</f>
        <v>138.774</v>
      </c>
    </row>
    <row r="275" spans="1:4" x14ac:dyDescent="0.3">
      <c r="A275" s="26"/>
      <c r="B275" s="27" t="s">
        <v>11</v>
      </c>
      <c r="C275" s="28"/>
      <c r="D275" s="29"/>
    </row>
    <row r="276" spans="1:4" x14ac:dyDescent="0.3">
      <c r="A276" s="26"/>
      <c r="B276" s="27" t="s">
        <v>55</v>
      </c>
      <c r="C276" s="28"/>
      <c r="D276" s="29"/>
    </row>
    <row r="277" spans="1:4" x14ac:dyDescent="0.3">
      <c r="A277" s="26"/>
      <c r="B277" s="27" t="s">
        <v>101</v>
      </c>
      <c r="C277" s="28"/>
      <c r="D277" s="29"/>
    </row>
    <row r="278" spans="1:4" x14ac:dyDescent="0.3">
      <c r="A278" s="26"/>
      <c r="B278" s="27" t="s">
        <v>18</v>
      </c>
      <c r="C278" s="28"/>
      <c r="D278" s="29"/>
    </row>
    <row r="279" spans="1:4" x14ac:dyDescent="0.3">
      <c r="A279" s="26"/>
      <c r="B279" s="27"/>
      <c r="C279" s="28"/>
      <c r="D279" s="29"/>
    </row>
    <row r="280" spans="1:4" x14ac:dyDescent="0.3">
      <c r="A280" s="21"/>
      <c r="B280" s="8"/>
      <c r="C280" s="1"/>
      <c r="D280" s="20"/>
    </row>
    <row r="281" spans="1:4" x14ac:dyDescent="0.3">
      <c r="A281" s="43"/>
      <c r="B281" s="44" t="s">
        <v>12</v>
      </c>
      <c r="C281" s="46">
        <f>SUM(C270:C280)</f>
        <v>1212</v>
      </c>
      <c r="D281" s="50">
        <f>SUM(D270:D280)</f>
        <v>138.774</v>
      </c>
    </row>
    <row r="282" spans="1:4" x14ac:dyDescent="0.3">
      <c r="A282" s="21"/>
      <c r="B282" s="3"/>
      <c r="C282" s="3"/>
      <c r="D282" s="22"/>
    </row>
    <row r="283" spans="1:4" ht="28.2" x14ac:dyDescent="0.3">
      <c r="A283" s="21"/>
      <c r="B283" s="45"/>
      <c r="C283" s="47" t="s">
        <v>13</v>
      </c>
      <c r="D283" s="51">
        <f>+C281-D281</f>
        <v>1073.2260000000001</v>
      </c>
    </row>
    <row r="284" spans="1:4" x14ac:dyDescent="0.3">
      <c r="A284" s="21"/>
      <c r="B284" s="3"/>
      <c r="C284" s="3"/>
      <c r="D284" s="22"/>
    </row>
    <row r="285" spans="1:4" x14ac:dyDescent="0.3">
      <c r="A285" s="23"/>
      <c r="B285" s="4" t="s">
        <v>14</v>
      </c>
      <c r="C285" s="2"/>
      <c r="D285" s="24"/>
    </row>
    <row r="286" spans="1:4" ht="15" thickBot="1" x14ac:dyDescent="0.35">
      <c r="A286" s="23"/>
      <c r="B286" s="9"/>
      <c r="C286" s="9"/>
      <c r="D286" s="24"/>
    </row>
    <row r="287" spans="1:4" x14ac:dyDescent="0.3">
      <c r="A287" s="300" t="s">
        <v>28</v>
      </c>
      <c r="B287" s="300" t="s">
        <v>93</v>
      </c>
      <c r="C287" s="302" t="s">
        <v>30</v>
      </c>
      <c r="D287" s="303"/>
    </row>
    <row r="288" spans="1:4" ht="15" thickBot="1" x14ac:dyDescent="0.35">
      <c r="A288" s="301"/>
      <c r="B288" s="301"/>
      <c r="C288" s="304"/>
      <c r="D288" s="305"/>
    </row>
    <row r="289" spans="1:4" x14ac:dyDescent="0.3">
      <c r="A289" s="37"/>
      <c r="B289" s="34"/>
      <c r="C289" s="32"/>
      <c r="D289" s="25"/>
    </row>
    <row r="290" spans="1:4" x14ac:dyDescent="0.3">
      <c r="A290" s="37"/>
      <c r="B290" s="34"/>
      <c r="C290" s="32"/>
      <c r="D290" s="25"/>
    </row>
    <row r="291" spans="1:4" x14ac:dyDescent="0.3">
      <c r="A291" s="37"/>
      <c r="B291" s="34"/>
      <c r="C291" s="32"/>
      <c r="D291" s="25"/>
    </row>
    <row r="292" spans="1:4" x14ac:dyDescent="0.3">
      <c r="A292" s="37"/>
      <c r="B292" s="34"/>
      <c r="C292" s="32"/>
      <c r="D292" s="25"/>
    </row>
    <row r="293" spans="1:4" x14ac:dyDescent="0.3">
      <c r="A293" s="37"/>
      <c r="B293" s="34"/>
      <c r="C293" s="32"/>
      <c r="D293" s="25"/>
    </row>
    <row r="294" spans="1:4" x14ac:dyDescent="0.3">
      <c r="A294" s="37"/>
      <c r="B294" s="34"/>
      <c r="C294" s="32"/>
      <c r="D294" s="25"/>
    </row>
    <row r="295" spans="1:4" x14ac:dyDescent="0.3">
      <c r="A295" s="37"/>
      <c r="B295" s="34"/>
      <c r="C295" s="32"/>
      <c r="D295" s="25"/>
    </row>
    <row r="296" spans="1:4" x14ac:dyDescent="0.3">
      <c r="A296" s="37"/>
      <c r="B296" s="34"/>
      <c r="C296" s="32"/>
      <c r="D296" s="25"/>
    </row>
    <row r="297" spans="1:4" x14ac:dyDescent="0.3">
      <c r="A297" s="37"/>
      <c r="B297" s="34"/>
      <c r="C297" s="32"/>
      <c r="D297" s="25"/>
    </row>
    <row r="298" spans="1:4" x14ac:dyDescent="0.3">
      <c r="A298" s="37"/>
      <c r="B298" s="34"/>
      <c r="C298" s="32"/>
      <c r="D298" s="25"/>
    </row>
    <row r="299" spans="1:4" x14ac:dyDescent="0.3">
      <c r="A299" s="38" t="s">
        <v>20</v>
      </c>
      <c r="B299" s="35" t="s">
        <v>21</v>
      </c>
      <c r="C299" s="290" t="s">
        <v>59</v>
      </c>
      <c r="D299" s="291"/>
    </row>
    <row r="300" spans="1:4" ht="15" thickBot="1" x14ac:dyDescent="0.35">
      <c r="A300" s="36" t="s">
        <v>22</v>
      </c>
      <c r="B300" s="33" t="s">
        <v>23</v>
      </c>
      <c r="C300" s="292" t="s">
        <v>60</v>
      </c>
      <c r="D300" s="293"/>
    </row>
    <row r="304" spans="1:4" ht="15" thickBot="1" x14ac:dyDescent="0.35"/>
    <row r="305" spans="1:4" ht="25.2" x14ac:dyDescent="0.3">
      <c r="A305" s="294"/>
      <c r="B305" s="295"/>
      <c r="C305" s="295"/>
      <c r="D305" s="296"/>
    </row>
    <row r="306" spans="1:4" x14ac:dyDescent="0.3">
      <c r="A306" s="31"/>
      <c r="B306" s="48"/>
      <c r="C306" s="2"/>
      <c r="D306" s="30"/>
    </row>
    <row r="307" spans="1:4" x14ac:dyDescent="0.3">
      <c r="A307" s="31"/>
      <c r="B307" s="49"/>
      <c r="C307" s="2"/>
      <c r="D307" s="30"/>
    </row>
    <row r="308" spans="1:4" x14ac:dyDescent="0.3">
      <c r="A308" s="31"/>
      <c r="B308" s="49"/>
      <c r="C308" s="2"/>
      <c r="D308" s="30"/>
    </row>
    <row r="309" spans="1:4" ht="15" thickBot="1" x14ac:dyDescent="0.35">
      <c r="A309" s="31"/>
      <c r="B309" s="2"/>
      <c r="C309" s="2"/>
      <c r="D309" s="30"/>
    </row>
    <row r="310" spans="1:4" ht="25.8" thickBot="1" x14ac:dyDescent="0.35">
      <c r="A310" s="297" t="s">
        <v>0</v>
      </c>
      <c r="B310" s="298"/>
      <c r="C310" s="298"/>
      <c r="D310" s="299"/>
    </row>
    <row r="311" spans="1:4" ht="25.2" x14ac:dyDescent="0.3">
      <c r="A311" s="52"/>
      <c r="B311" s="53"/>
      <c r="C311" s="53"/>
      <c r="D311" s="54"/>
    </row>
    <row r="312" spans="1:4" x14ac:dyDescent="0.3">
      <c r="A312" s="11" t="s">
        <v>1</v>
      </c>
      <c r="B312" s="3" t="s">
        <v>57</v>
      </c>
      <c r="C312" s="3"/>
      <c r="D312" s="12"/>
    </row>
    <row r="313" spans="1:4" x14ac:dyDescent="0.3">
      <c r="A313" s="11" t="s">
        <v>2</v>
      </c>
      <c r="B313" s="55">
        <v>1600344624</v>
      </c>
      <c r="C313" s="4"/>
      <c r="D313" s="13"/>
    </row>
    <row r="314" spans="1:4" x14ac:dyDescent="0.3">
      <c r="A314" s="11" t="s">
        <v>3</v>
      </c>
      <c r="B314" s="3" t="s">
        <v>58</v>
      </c>
      <c r="C314" s="4"/>
      <c r="D314" s="14"/>
    </row>
    <row r="315" spans="1:4" x14ac:dyDescent="0.3">
      <c r="A315" s="11" t="s">
        <v>26</v>
      </c>
      <c r="B315" s="3" t="s">
        <v>122</v>
      </c>
      <c r="C315" s="4"/>
      <c r="D315" s="15"/>
    </row>
    <row r="316" spans="1:4" x14ac:dyDescent="0.3">
      <c r="A316" s="11" t="s">
        <v>99</v>
      </c>
      <c r="B316" s="55">
        <v>2022</v>
      </c>
      <c r="C316" s="4"/>
      <c r="D316" s="15"/>
    </row>
    <row r="317" spans="1:4" x14ac:dyDescent="0.3">
      <c r="A317" s="16"/>
      <c r="B317" s="5"/>
      <c r="C317" s="5"/>
      <c r="D317" s="17"/>
    </row>
    <row r="318" spans="1:4" x14ac:dyDescent="0.3">
      <c r="A318" s="39" t="s">
        <v>94</v>
      </c>
      <c r="B318" s="40"/>
      <c r="C318" s="41" t="s">
        <v>5</v>
      </c>
      <c r="D318" s="42" t="s">
        <v>6</v>
      </c>
    </row>
    <row r="319" spans="1:4" x14ac:dyDescent="0.3">
      <c r="A319" s="18"/>
      <c r="B319" s="6"/>
      <c r="C319" s="7"/>
      <c r="D319" s="19"/>
    </row>
    <row r="320" spans="1:4" x14ac:dyDescent="0.3">
      <c r="A320" s="26" t="s">
        <v>16</v>
      </c>
      <c r="B320" s="27"/>
      <c r="C320" s="28">
        <v>1212</v>
      </c>
      <c r="D320" s="29"/>
    </row>
    <row r="321" spans="1:4" x14ac:dyDescent="0.3">
      <c r="A321" s="26" t="s">
        <v>106</v>
      </c>
      <c r="B321" s="27"/>
      <c r="C321" s="28"/>
      <c r="D321" s="29"/>
    </row>
    <row r="322" spans="1:4" x14ac:dyDescent="0.3">
      <c r="A322" s="26" t="s">
        <v>8</v>
      </c>
      <c r="B322" s="27"/>
      <c r="C322" s="28"/>
      <c r="D322" s="29"/>
    </row>
    <row r="323" spans="1:4" x14ac:dyDescent="0.3">
      <c r="A323" s="26" t="s">
        <v>9</v>
      </c>
      <c r="B323" s="27"/>
      <c r="C323" s="28"/>
      <c r="D323" s="29"/>
    </row>
    <row r="324" spans="1:4" x14ac:dyDescent="0.3">
      <c r="A324" s="26"/>
      <c r="B324" s="27" t="s">
        <v>10</v>
      </c>
      <c r="C324" s="28"/>
      <c r="D324" s="29">
        <f>C320*11.45%</f>
        <v>138.774</v>
      </c>
    </row>
    <row r="325" spans="1:4" x14ac:dyDescent="0.3">
      <c r="A325" s="26"/>
      <c r="B325" s="27" t="s">
        <v>11</v>
      </c>
      <c r="C325" s="28"/>
      <c r="D325" s="29"/>
    </row>
    <row r="326" spans="1:4" x14ac:dyDescent="0.3">
      <c r="A326" s="26"/>
      <c r="B326" s="27" t="s">
        <v>55</v>
      </c>
      <c r="C326" s="28"/>
      <c r="D326" s="29"/>
    </row>
    <row r="327" spans="1:4" x14ac:dyDescent="0.3">
      <c r="A327" s="26"/>
      <c r="B327" s="27" t="s">
        <v>101</v>
      </c>
      <c r="C327" s="28"/>
      <c r="D327" s="29"/>
    </row>
    <row r="328" spans="1:4" x14ac:dyDescent="0.3">
      <c r="A328" s="26"/>
      <c r="B328" s="27" t="s">
        <v>18</v>
      </c>
      <c r="C328" s="28"/>
      <c r="D328" s="29"/>
    </row>
    <row r="329" spans="1:4" x14ac:dyDescent="0.3">
      <c r="A329" s="26"/>
      <c r="B329" s="27"/>
      <c r="C329" s="28"/>
      <c r="D329" s="29"/>
    </row>
    <row r="330" spans="1:4" x14ac:dyDescent="0.3">
      <c r="A330" s="21"/>
      <c r="B330" s="8"/>
      <c r="C330" s="1"/>
      <c r="D330" s="20"/>
    </row>
    <row r="331" spans="1:4" x14ac:dyDescent="0.3">
      <c r="A331" s="43"/>
      <c r="B331" s="44" t="s">
        <v>12</v>
      </c>
      <c r="C331" s="46">
        <f>SUM(C320:C330)</f>
        <v>1212</v>
      </c>
      <c r="D331" s="50">
        <f>SUM(D320:D330)</f>
        <v>138.774</v>
      </c>
    </row>
    <row r="332" spans="1:4" x14ac:dyDescent="0.3">
      <c r="A332" s="21"/>
      <c r="B332" s="3"/>
      <c r="C332" s="3"/>
      <c r="D332" s="22"/>
    </row>
    <row r="333" spans="1:4" ht="28.2" x14ac:dyDescent="0.3">
      <c r="A333" s="21"/>
      <c r="B333" s="45"/>
      <c r="C333" s="47" t="s">
        <v>13</v>
      </c>
      <c r="D333" s="51">
        <f>+C331-D331</f>
        <v>1073.2260000000001</v>
      </c>
    </row>
    <row r="334" spans="1:4" x14ac:dyDescent="0.3">
      <c r="A334" s="21"/>
      <c r="B334" s="3"/>
      <c r="C334" s="3"/>
      <c r="D334" s="22"/>
    </row>
    <row r="335" spans="1:4" x14ac:dyDescent="0.3">
      <c r="A335" s="23"/>
      <c r="B335" s="4" t="s">
        <v>14</v>
      </c>
      <c r="C335" s="2"/>
      <c r="D335" s="24"/>
    </row>
    <row r="336" spans="1:4" ht="15" thickBot="1" x14ac:dyDescent="0.35">
      <c r="A336" s="23"/>
      <c r="B336" s="9"/>
      <c r="C336" s="9"/>
      <c r="D336" s="24"/>
    </row>
    <row r="337" spans="1:4" x14ac:dyDescent="0.3">
      <c r="A337" s="300" t="s">
        <v>28</v>
      </c>
      <c r="B337" s="300" t="s">
        <v>93</v>
      </c>
      <c r="C337" s="302" t="s">
        <v>30</v>
      </c>
      <c r="D337" s="303"/>
    </row>
    <row r="338" spans="1:4" ht="15" thickBot="1" x14ac:dyDescent="0.35">
      <c r="A338" s="301"/>
      <c r="B338" s="301"/>
      <c r="C338" s="304"/>
      <c r="D338" s="305"/>
    </row>
    <row r="339" spans="1:4" x14ac:dyDescent="0.3">
      <c r="A339" s="37"/>
      <c r="B339" s="34"/>
      <c r="C339" s="32"/>
      <c r="D339" s="25"/>
    </row>
    <row r="340" spans="1:4" x14ac:dyDescent="0.3">
      <c r="A340" s="37"/>
      <c r="B340" s="34"/>
      <c r="C340" s="32"/>
      <c r="D340" s="25"/>
    </row>
    <row r="341" spans="1:4" x14ac:dyDescent="0.3">
      <c r="A341" s="37"/>
      <c r="B341" s="34"/>
      <c r="C341" s="32"/>
      <c r="D341" s="25"/>
    </row>
    <row r="342" spans="1:4" x14ac:dyDescent="0.3">
      <c r="A342" s="37"/>
      <c r="B342" s="34"/>
      <c r="C342" s="32"/>
      <c r="D342" s="25"/>
    </row>
    <row r="343" spans="1:4" x14ac:dyDescent="0.3">
      <c r="A343" s="37"/>
      <c r="B343" s="34"/>
      <c r="C343" s="32"/>
      <c r="D343" s="25"/>
    </row>
    <row r="344" spans="1:4" x14ac:dyDescent="0.3">
      <c r="A344" s="37"/>
      <c r="B344" s="34"/>
      <c r="C344" s="32"/>
      <c r="D344" s="25"/>
    </row>
    <row r="345" spans="1:4" x14ac:dyDescent="0.3">
      <c r="A345" s="37"/>
      <c r="B345" s="34"/>
      <c r="C345" s="32"/>
      <c r="D345" s="25"/>
    </row>
    <row r="346" spans="1:4" x14ac:dyDescent="0.3">
      <c r="A346" s="37"/>
      <c r="B346" s="34"/>
      <c r="C346" s="32"/>
      <c r="D346" s="25"/>
    </row>
    <row r="347" spans="1:4" x14ac:dyDescent="0.3">
      <c r="A347" s="37"/>
      <c r="B347" s="34"/>
      <c r="C347" s="32"/>
      <c r="D347" s="25"/>
    </row>
    <row r="348" spans="1:4" x14ac:dyDescent="0.3">
      <c r="A348" s="37"/>
      <c r="B348" s="34"/>
      <c r="C348" s="32"/>
      <c r="D348" s="25"/>
    </row>
    <row r="349" spans="1:4" x14ac:dyDescent="0.3">
      <c r="A349" s="38" t="s">
        <v>20</v>
      </c>
      <c r="B349" s="35" t="s">
        <v>21</v>
      </c>
      <c r="C349" s="290" t="s">
        <v>59</v>
      </c>
      <c r="D349" s="291"/>
    </row>
    <row r="350" spans="1:4" ht="15" thickBot="1" x14ac:dyDescent="0.35">
      <c r="A350" s="36" t="s">
        <v>22</v>
      </c>
      <c r="B350" s="33" t="s">
        <v>23</v>
      </c>
      <c r="C350" s="292" t="s">
        <v>60</v>
      </c>
      <c r="D350" s="293"/>
    </row>
    <row r="354" spans="1:4" ht="15" thickBot="1" x14ac:dyDescent="0.35"/>
    <row r="355" spans="1:4" ht="25.2" x14ac:dyDescent="0.3">
      <c r="A355" s="294"/>
      <c r="B355" s="295"/>
      <c r="C355" s="295"/>
      <c r="D355" s="296"/>
    </row>
    <row r="356" spans="1:4" x14ac:dyDescent="0.3">
      <c r="A356" s="31"/>
      <c r="B356" s="48"/>
      <c r="C356" s="2"/>
      <c r="D356" s="30"/>
    </row>
    <row r="357" spans="1:4" x14ac:dyDescent="0.3">
      <c r="A357" s="31"/>
      <c r="B357" s="49"/>
      <c r="C357" s="2"/>
      <c r="D357" s="30"/>
    </row>
    <row r="358" spans="1:4" x14ac:dyDescent="0.3">
      <c r="A358" s="31"/>
      <c r="B358" s="49"/>
      <c r="C358" s="2"/>
      <c r="D358" s="30"/>
    </row>
    <row r="359" spans="1:4" ht="15" thickBot="1" x14ac:dyDescent="0.35">
      <c r="A359" s="31"/>
      <c r="B359" s="2"/>
      <c r="C359" s="2"/>
      <c r="D359" s="30"/>
    </row>
    <row r="360" spans="1:4" ht="25.8" thickBot="1" x14ac:dyDescent="0.35">
      <c r="A360" s="297" t="s">
        <v>133</v>
      </c>
      <c r="B360" s="298"/>
      <c r="C360" s="298"/>
      <c r="D360" s="299"/>
    </row>
    <row r="361" spans="1:4" ht="25.2" x14ac:dyDescent="0.3">
      <c r="A361" s="52"/>
      <c r="B361" s="53"/>
      <c r="C361" s="53"/>
      <c r="D361" s="54"/>
    </row>
    <row r="362" spans="1:4" x14ac:dyDescent="0.3">
      <c r="A362" s="11" t="s">
        <v>1</v>
      </c>
      <c r="B362" s="3" t="s">
        <v>57</v>
      </c>
      <c r="C362" s="3"/>
      <c r="D362" s="12"/>
    </row>
    <row r="363" spans="1:4" x14ac:dyDescent="0.3">
      <c r="A363" s="11" t="s">
        <v>2</v>
      </c>
      <c r="B363" s="55">
        <v>1600344624</v>
      </c>
      <c r="C363" s="4"/>
      <c r="D363" s="13"/>
    </row>
    <row r="364" spans="1:4" x14ac:dyDescent="0.3">
      <c r="A364" s="11" t="s">
        <v>3</v>
      </c>
      <c r="B364" s="3" t="s">
        <v>58</v>
      </c>
      <c r="C364" s="4"/>
      <c r="D364" s="14"/>
    </row>
    <row r="365" spans="1:4" x14ac:dyDescent="0.3">
      <c r="A365" s="11" t="s">
        <v>26</v>
      </c>
      <c r="B365" s="3" t="s">
        <v>134</v>
      </c>
      <c r="C365" s="4"/>
      <c r="D365" s="15"/>
    </row>
    <row r="366" spans="1:4" x14ac:dyDescent="0.3">
      <c r="A366" s="11" t="s">
        <v>99</v>
      </c>
      <c r="B366" s="55">
        <v>2022</v>
      </c>
      <c r="C366" s="4"/>
      <c r="D366" s="15"/>
    </row>
    <row r="367" spans="1:4" x14ac:dyDescent="0.3">
      <c r="A367" s="16"/>
      <c r="B367" s="5"/>
      <c r="C367" s="5"/>
      <c r="D367" s="17"/>
    </row>
    <row r="368" spans="1:4" x14ac:dyDescent="0.3">
      <c r="A368" s="39" t="s">
        <v>94</v>
      </c>
      <c r="B368" s="40"/>
      <c r="C368" s="41" t="s">
        <v>5</v>
      </c>
      <c r="D368" s="42" t="s">
        <v>6</v>
      </c>
    </row>
    <row r="369" spans="1:4" x14ac:dyDescent="0.3">
      <c r="A369" s="18"/>
      <c r="B369" s="6"/>
      <c r="C369" s="7"/>
      <c r="D369" s="19"/>
    </row>
    <row r="370" spans="1:4" x14ac:dyDescent="0.3">
      <c r="A370" s="26" t="s">
        <v>16</v>
      </c>
      <c r="B370" s="27"/>
      <c r="C370" s="28"/>
      <c r="D370" s="29"/>
    </row>
    <row r="371" spans="1:4" x14ac:dyDescent="0.3">
      <c r="A371" s="26" t="s">
        <v>106</v>
      </c>
      <c r="B371" s="27"/>
      <c r="C371" s="28"/>
      <c r="D371" s="29"/>
    </row>
    <row r="372" spans="1:4" x14ac:dyDescent="0.3">
      <c r="A372" s="26" t="s">
        <v>8</v>
      </c>
      <c r="B372" s="27"/>
      <c r="C372" s="28"/>
      <c r="D372" s="29"/>
    </row>
    <row r="373" spans="1:4" x14ac:dyDescent="0.3">
      <c r="A373" s="26" t="s">
        <v>9</v>
      </c>
      <c r="B373" s="27"/>
      <c r="C373" s="28">
        <f>(425/12)*12</f>
        <v>425</v>
      </c>
      <c r="D373" s="29"/>
    </row>
    <row r="374" spans="1:4" x14ac:dyDescent="0.3">
      <c r="A374" s="26"/>
      <c r="B374" s="27" t="s">
        <v>10</v>
      </c>
      <c r="C374" s="28"/>
      <c r="D374" s="29">
        <f>C370*11.45%</f>
        <v>0</v>
      </c>
    </row>
    <row r="375" spans="1:4" x14ac:dyDescent="0.3">
      <c r="A375" s="26"/>
      <c r="B375" s="27" t="s">
        <v>11</v>
      </c>
      <c r="C375" s="28"/>
      <c r="D375" s="29"/>
    </row>
    <row r="376" spans="1:4" x14ac:dyDescent="0.3">
      <c r="A376" s="26"/>
      <c r="B376" s="27" t="s">
        <v>55</v>
      </c>
      <c r="C376" s="28"/>
      <c r="D376" s="29"/>
    </row>
    <row r="377" spans="1:4" x14ac:dyDescent="0.3">
      <c r="A377" s="26"/>
      <c r="B377" s="27" t="s">
        <v>101</v>
      </c>
      <c r="C377" s="28"/>
      <c r="D377" s="29"/>
    </row>
    <row r="378" spans="1:4" x14ac:dyDescent="0.3">
      <c r="A378" s="26"/>
      <c r="B378" s="27" t="s">
        <v>18</v>
      </c>
      <c r="C378" s="28"/>
      <c r="D378" s="29"/>
    </row>
    <row r="379" spans="1:4" x14ac:dyDescent="0.3">
      <c r="A379" s="26"/>
      <c r="B379" s="27"/>
      <c r="C379" s="28"/>
      <c r="D379" s="29"/>
    </row>
    <row r="380" spans="1:4" x14ac:dyDescent="0.3">
      <c r="A380" s="21"/>
      <c r="B380" s="8"/>
      <c r="C380" s="1"/>
      <c r="D380" s="20"/>
    </row>
    <row r="381" spans="1:4" x14ac:dyDescent="0.3">
      <c r="A381" s="43"/>
      <c r="B381" s="44" t="s">
        <v>12</v>
      </c>
      <c r="C381" s="46">
        <f>SUM(C370:C380)</f>
        <v>425</v>
      </c>
      <c r="D381" s="50">
        <f>SUM(D370:D380)</f>
        <v>0</v>
      </c>
    </row>
    <row r="382" spans="1:4" x14ac:dyDescent="0.3">
      <c r="A382" s="21"/>
      <c r="B382" s="3"/>
      <c r="C382" s="3"/>
      <c r="D382" s="22"/>
    </row>
    <row r="383" spans="1:4" ht="28.2" x14ac:dyDescent="0.3">
      <c r="A383" s="21"/>
      <c r="B383" s="45"/>
      <c r="C383" s="47" t="s">
        <v>13</v>
      </c>
      <c r="D383" s="51">
        <f>+C381-D381</f>
        <v>425</v>
      </c>
    </row>
    <row r="384" spans="1:4" x14ac:dyDescent="0.3">
      <c r="A384" s="21"/>
      <c r="B384" s="3"/>
      <c r="C384" s="3"/>
      <c r="D384" s="22"/>
    </row>
    <row r="385" spans="1:4" x14ac:dyDescent="0.3">
      <c r="A385" s="23"/>
      <c r="B385" s="4" t="s">
        <v>14</v>
      </c>
      <c r="C385" s="2"/>
      <c r="D385" s="24"/>
    </row>
    <row r="386" spans="1:4" ht="15" thickBot="1" x14ac:dyDescent="0.35">
      <c r="A386" s="23"/>
      <c r="B386" s="9"/>
      <c r="C386" s="9"/>
      <c r="D386" s="24"/>
    </row>
    <row r="387" spans="1:4" x14ac:dyDescent="0.3">
      <c r="A387" s="300" t="s">
        <v>28</v>
      </c>
      <c r="B387" s="300" t="s">
        <v>93</v>
      </c>
      <c r="C387" s="302" t="s">
        <v>30</v>
      </c>
      <c r="D387" s="303"/>
    </row>
    <row r="388" spans="1:4" ht="15" thickBot="1" x14ac:dyDescent="0.35">
      <c r="A388" s="301"/>
      <c r="B388" s="301"/>
      <c r="C388" s="304"/>
      <c r="D388" s="305"/>
    </row>
    <row r="389" spans="1:4" x14ac:dyDescent="0.3">
      <c r="A389" s="37"/>
      <c r="B389" s="34"/>
      <c r="C389" s="32"/>
      <c r="D389" s="25"/>
    </row>
    <row r="390" spans="1:4" x14ac:dyDescent="0.3">
      <c r="A390" s="37"/>
      <c r="B390" s="34"/>
      <c r="C390" s="32"/>
      <c r="D390" s="25"/>
    </row>
    <row r="391" spans="1:4" x14ac:dyDescent="0.3">
      <c r="A391" s="37"/>
      <c r="B391" s="34"/>
      <c r="C391" s="32"/>
      <c r="D391" s="25"/>
    </row>
    <row r="392" spans="1:4" x14ac:dyDescent="0.3">
      <c r="A392" s="37"/>
      <c r="B392" s="34"/>
      <c r="C392" s="32"/>
      <c r="D392" s="25"/>
    </row>
    <row r="393" spans="1:4" x14ac:dyDescent="0.3">
      <c r="A393" s="37"/>
      <c r="B393" s="34"/>
      <c r="C393" s="32"/>
      <c r="D393" s="25"/>
    </row>
    <row r="394" spans="1:4" x14ac:dyDescent="0.3">
      <c r="A394" s="37"/>
      <c r="B394" s="34"/>
      <c r="C394" s="32"/>
      <c r="D394" s="25"/>
    </row>
    <row r="395" spans="1:4" x14ac:dyDescent="0.3">
      <c r="A395" s="37"/>
      <c r="B395" s="34"/>
      <c r="C395" s="32"/>
      <c r="D395" s="25"/>
    </row>
    <row r="396" spans="1:4" x14ac:dyDescent="0.3">
      <c r="A396" s="37"/>
      <c r="B396" s="34"/>
      <c r="C396" s="32"/>
      <c r="D396" s="25"/>
    </row>
    <row r="397" spans="1:4" x14ac:dyDescent="0.3">
      <c r="A397" s="37"/>
      <c r="B397" s="34"/>
      <c r="C397" s="32"/>
      <c r="D397" s="25"/>
    </row>
    <row r="398" spans="1:4" x14ac:dyDescent="0.3">
      <c r="A398" s="37"/>
      <c r="B398" s="34"/>
      <c r="C398" s="32"/>
      <c r="D398" s="25"/>
    </row>
    <row r="399" spans="1:4" x14ac:dyDescent="0.3">
      <c r="A399" s="38" t="s">
        <v>20</v>
      </c>
      <c r="B399" s="35" t="s">
        <v>21</v>
      </c>
      <c r="C399" s="290" t="s">
        <v>59</v>
      </c>
      <c r="D399" s="291"/>
    </row>
    <row r="400" spans="1:4" ht="15" thickBot="1" x14ac:dyDescent="0.35">
      <c r="A400" s="36" t="s">
        <v>22</v>
      </c>
      <c r="B400" s="33" t="s">
        <v>23</v>
      </c>
      <c r="C400" s="292" t="s">
        <v>60</v>
      </c>
      <c r="D400" s="293"/>
    </row>
    <row r="404" spans="1:4" ht="15" thickBot="1" x14ac:dyDescent="0.35"/>
    <row r="405" spans="1:4" ht="25.2" x14ac:dyDescent="0.3">
      <c r="A405" s="294"/>
      <c r="B405" s="295"/>
      <c r="C405" s="295"/>
      <c r="D405" s="296"/>
    </row>
    <row r="406" spans="1:4" x14ac:dyDescent="0.3">
      <c r="A406" s="31"/>
      <c r="B406" s="48"/>
      <c r="C406" s="2"/>
      <c r="D406" s="30"/>
    </row>
    <row r="407" spans="1:4" x14ac:dyDescent="0.3">
      <c r="A407" s="31"/>
      <c r="B407" s="49"/>
      <c r="C407" s="2"/>
      <c r="D407" s="30"/>
    </row>
    <row r="408" spans="1:4" x14ac:dyDescent="0.3">
      <c r="A408" s="31"/>
      <c r="B408" s="49"/>
      <c r="C408" s="2"/>
      <c r="D408" s="30"/>
    </row>
    <row r="409" spans="1:4" ht="15" thickBot="1" x14ac:dyDescent="0.35">
      <c r="A409" s="31"/>
      <c r="B409" s="2"/>
      <c r="C409" s="2"/>
      <c r="D409" s="30"/>
    </row>
    <row r="410" spans="1:4" ht="25.8" thickBot="1" x14ac:dyDescent="0.35">
      <c r="A410" s="297" t="s">
        <v>0</v>
      </c>
      <c r="B410" s="298"/>
      <c r="C410" s="298"/>
      <c r="D410" s="299"/>
    </row>
    <row r="411" spans="1:4" ht="25.2" x14ac:dyDescent="0.3">
      <c r="A411" s="52"/>
      <c r="B411" s="53"/>
      <c r="C411" s="53"/>
      <c r="D411" s="54"/>
    </row>
    <row r="412" spans="1:4" x14ac:dyDescent="0.3">
      <c r="A412" s="11" t="s">
        <v>1</v>
      </c>
      <c r="B412" s="3" t="s">
        <v>57</v>
      </c>
      <c r="C412" s="3"/>
      <c r="D412" s="12"/>
    </row>
    <row r="413" spans="1:4" x14ac:dyDescent="0.3">
      <c r="A413" s="11" t="s">
        <v>2</v>
      </c>
      <c r="B413" s="55">
        <v>1600344624</v>
      </c>
      <c r="C413" s="4"/>
      <c r="D413" s="13"/>
    </row>
    <row r="414" spans="1:4" x14ac:dyDescent="0.3">
      <c r="A414" s="11" t="s">
        <v>3</v>
      </c>
      <c r="B414" s="3" t="s">
        <v>58</v>
      </c>
      <c r="C414" s="4"/>
      <c r="D414" s="14"/>
    </row>
    <row r="415" spans="1:4" x14ac:dyDescent="0.3">
      <c r="A415" s="11" t="s">
        <v>26</v>
      </c>
      <c r="B415" s="3" t="s">
        <v>134</v>
      </c>
      <c r="C415" s="4"/>
      <c r="D415" s="15"/>
    </row>
    <row r="416" spans="1:4" x14ac:dyDescent="0.3">
      <c r="A416" s="11" t="s">
        <v>99</v>
      </c>
      <c r="B416" s="55">
        <v>2022</v>
      </c>
      <c r="C416" s="4"/>
      <c r="D416" s="15"/>
    </row>
    <row r="417" spans="1:4" x14ac:dyDescent="0.3">
      <c r="A417" s="16"/>
      <c r="B417" s="5"/>
      <c r="C417" s="5"/>
      <c r="D417" s="17"/>
    </row>
    <row r="418" spans="1:4" x14ac:dyDescent="0.3">
      <c r="A418" s="39" t="s">
        <v>94</v>
      </c>
      <c r="B418" s="40"/>
      <c r="C418" s="41" t="s">
        <v>5</v>
      </c>
      <c r="D418" s="42" t="s">
        <v>6</v>
      </c>
    </row>
    <row r="419" spans="1:4" x14ac:dyDescent="0.3">
      <c r="A419" s="18"/>
      <c r="B419" s="6"/>
      <c r="C419" s="7"/>
      <c r="D419" s="19"/>
    </row>
    <row r="420" spans="1:4" x14ac:dyDescent="0.3">
      <c r="A420" s="26" t="s">
        <v>16</v>
      </c>
      <c r="B420" s="27"/>
      <c r="C420" s="28">
        <v>1212</v>
      </c>
      <c r="D420" s="29"/>
    </row>
    <row r="421" spans="1:4" x14ac:dyDescent="0.3">
      <c r="A421" s="26" t="s">
        <v>106</v>
      </c>
      <c r="B421" s="27"/>
      <c r="C421" s="28"/>
      <c r="D421" s="29"/>
    </row>
    <row r="422" spans="1:4" x14ac:dyDescent="0.3">
      <c r="A422" s="26" t="s">
        <v>8</v>
      </c>
      <c r="B422" s="27"/>
      <c r="C422" s="28"/>
      <c r="D422" s="29"/>
    </row>
    <row r="423" spans="1:4" x14ac:dyDescent="0.3">
      <c r="A423" s="26" t="s">
        <v>9</v>
      </c>
      <c r="B423" s="27"/>
      <c r="C423" s="28"/>
      <c r="D423" s="29"/>
    </row>
    <row r="424" spans="1:4" x14ac:dyDescent="0.3">
      <c r="A424" s="26"/>
      <c r="B424" s="27" t="s">
        <v>10</v>
      </c>
      <c r="C424" s="28"/>
      <c r="D424" s="29">
        <f>C420*11.45%</f>
        <v>138.774</v>
      </c>
    </row>
    <row r="425" spans="1:4" x14ac:dyDescent="0.3">
      <c r="A425" s="26"/>
      <c r="B425" s="27" t="s">
        <v>11</v>
      </c>
      <c r="C425" s="28"/>
      <c r="D425" s="29"/>
    </row>
    <row r="426" spans="1:4" x14ac:dyDescent="0.3">
      <c r="A426" s="26"/>
      <c r="B426" s="27" t="s">
        <v>55</v>
      </c>
      <c r="C426" s="28"/>
      <c r="D426" s="29"/>
    </row>
    <row r="427" spans="1:4" x14ac:dyDescent="0.3">
      <c r="A427" s="26"/>
      <c r="B427" s="27" t="s">
        <v>101</v>
      </c>
      <c r="C427" s="28"/>
      <c r="D427" s="29"/>
    </row>
    <row r="428" spans="1:4" x14ac:dyDescent="0.3">
      <c r="A428" s="26"/>
      <c r="B428" s="27" t="s">
        <v>18</v>
      </c>
      <c r="C428" s="28"/>
      <c r="D428" s="29"/>
    </row>
    <row r="429" spans="1:4" x14ac:dyDescent="0.3">
      <c r="A429" s="26"/>
      <c r="B429" s="27"/>
      <c r="C429" s="28"/>
      <c r="D429" s="29"/>
    </row>
    <row r="430" spans="1:4" x14ac:dyDescent="0.3">
      <c r="A430" s="21"/>
      <c r="B430" s="8"/>
      <c r="C430" s="1"/>
      <c r="D430" s="20"/>
    </row>
    <row r="431" spans="1:4" x14ac:dyDescent="0.3">
      <c r="A431" s="43"/>
      <c r="B431" s="44" t="s">
        <v>12</v>
      </c>
      <c r="C431" s="46">
        <f>SUM(C420:C430)</f>
        <v>1212</v>
      </c>
      <c r="D431" s="50">
        <f>SUM(D420:D430)</f>
        <v>138.774</v>
      </c>
    </row>
    <row r="432" spans="1:4" x14ac:dyDescent="0.3">
      <c r="A432" s="21"/>
      <c r="B432" s="3"/>
      <c r="C432" s="3"/>
      <c r="D432" s="22"/>
    </row>
    <row r="433" spans="1:4" ht="28.2" x14ac:dyDescent="0.3">
      <c r="A433" s="21"/>
      <c r="B433" s="45"/>
      <c r="C433" s="47" t="s">
        <v>13</v>
      </c>
      <c r="D433" s="51">
        <f>+C431-D431</f>
        <v>1073.2260000000001</v>
      </c>
    </row>
    <row r="434" spans="1:4" x14ac:dyDescent="0.3">
      <c r="A434" s="21"/>
      <c r="B434" s="3"/>
      <c r="C434" s="3"/>
      <c r="D434" s="22"/>
    </row>
    <row r="435" spans="1:4" x14ac:dyDescent="0.3">
      <c r="A435" s="23"/>
      <c r="B435" s="4" t="s">
        <v>14</v>
      </c>
      <c r="C435" s="2"/>
      <c r="D435" s="24"/>
    </row>
    <row r="436" spans="1:4" ht="15" thickBot="1" x14ac:dyDescent="0.35">
      <c r="A436" s="23"/>
      <c r="B436" s="9"/>
      <c r="C436" s="9"/>
      <c r="D436" s="24"/>
    </row>
    <row r="437" spans="1:4" x14ac:dyDescent="0.3">
      <c r="A437" s="300" t="s">
        <v>28</v>
      </c>
      <c r="B437" s="300" t="s">
        <v>93</v>
      </c>
      <c r="C437" s="302" t="s">
        <v>30</v>
      </c>
      <c r="D437" s="303"/>
    </row>
    <row r="438" spans="1:4" ht="15" thickBot="1" x14ac:dyDescent="0.35">
      <c r="A438" s="301"/>
      <c r="B438" s="301"/>
      <c r="C438" s="304"/>
      <c r="D438" s="305"/>
    </row>
    <row r="439" spans="1:4" x14ac:dyDescent="0.3">
      <c r="A439" s="37"/>
      <c r="B439" s="34"/>
      <c r="C439" s="32"/>
      <c r="D439" s="25"/>
    </row>
    <row r="440" spans="1:4" x14ac:dyDescent="0.3">
      <c r="A440" s="37"/>
      <c r="B440" s="34"/>
      <c r="C440" s="32"/>
      <c r="D440" s="25"/>
    </row>
    <row r="441" spans="1:4" x14ac:dyDescent="0.3">
      <c r="A441" s="37"/>
      <c r="B441" s="34"/>
      <c r="C441" s="32"/>
      <c r="D441" s="25"/>
    </row>
    <row r="442" spans="1:4" x14ac:dyDescent="0.3">
      <c r="A442" s="37"/>
      <c r="B442" s="34"/>
      <c r="C442" s="32"/>
      <c r="D442" s="25"/>
    </row>
    <row r="443" spans="1:4" x14ac:dyDescent="0.3">
      <c r="A443" s="37"/>
      <c r="B443" s="34"/>
      <c r="C443" s="32"/>
      <c r="D443" s="25"/>
    </row>
    <row r="444" spans="1:4" x14ac:dyDescent="0.3">
      <c r="A444" s="37"/>
      <c r="B444" s="34"/>
      <c r="C444" s="32"/>
      <c r="D444" s="25"/>
    </row>
    <row r="445" spans="1:4" x14ac:dyDescent="0.3">
      <c r="A445" s="37"/>
      <c r="B445" s="34"/>
      <c r="C445" s="32"/>
      <c r="D445" s="25"/>
    </row>
    <row r="446" spans="1:4" x14ac:dyDescent="0.3">
      <c r="A446" s="37"/>
      <c r="B446" s="34"/>
      <c r="C446" s="32"/>
      <c r="D446" s="25"/>
    </row>
    <row r="447" spans="1:4" x14ac:dyDescent="0.3">
      <c r="A447" s="37"/>
      <c r="B447" s="34"/>
      <c r="C447" s="32"/>
      <c r="D447" s="25"/>
    </row>
    <row r="448" spans="1:4" x14ac:dyDescent="0.3">
      <c r="A448" s="37"/>
      <c r="B448" s="34"/>
      <c r="C448" s="32"/>
      <c r="D448" s="25"/>
    </row>
    <row r="449" spans="1:4" x14ac:dyDescent="0.3">
      <c r="A449" s="38" t="s">
        <v>20</v>
      </c>
      <c r="B449" s="35" t="s">
        <v>21</v>
      </c>
      <c r="C449" s="290" t="s">
        <v>59</v>
      </c>
      <c r="D449" s="291"/>
    </row>
    <row r="450" spans="1:4" ht="15" thickBot="1" x14ac:dyDescent="0.35">
      <c r="A450" s="36" t="s">
        <v>22</v>
      </c>
      <c r="B450" s="33" t="s">
        <v>23</v>
      </c>
      <c r="C450" s="292" t="s">
        <v>60</v>
      </c>
      <c r="D450" s="293"/>
    </row>
  </sheetData>
  <mergeCells count="63">
    <mergeCell ref="C449:D449"/>
    <mergeCell ref="C450:D450"/>
    <mergeCell ref="A405:D405"/>
    <mergeCell ref="A410:D410"/>
    <mergeCell ref="A437:A438"/>
    <mergeCell ref="B437:B438"/>
    <mergeCell ref="C437:D438"/>
    <mergeCell ref="C349:D349"/>
    <mergeCell ref="C350:D350"/>
    <mergeCell ref="A305:D305"/>
    <mergeCell ref="A310:D310"/>
    <mergeCell ref="A337:A338"/>
    <mergeCell ref="B337:B338"/>
    <mergeCell ref="C337:D338"/>
    <mergeCell ref="C299:D299"/>
    <mergeCell ref="C300:D300"/>
    <mergeCell ref="A255:D255"/>
    <mergeCell ref="A260:D260"/>
    <mergeCell ref="A287:A288"/>
    <mergeCell ref="B287:B288"/>
    <mergeCell ref="C287:D288"/>
    <mergeCell ref="C149:D149"/>
    <mergeCell ref="C150:D150"/>
    <mergeCell ref="A105:D105"/>
    <mergeCell ref="A110:D110"/>
    <mergeCell ref="A137:A138"/>
    <mergeCell ref="B137:B138"/>
    <mergeCell ref="C137:D138"/>
    <mergeCell ref="C99:D99"/>
    <mergeCell ref="C100:D100"/>
    <mergeCell ref="A55:D55"/>
    <mergeCell ref="A60:D60"/>
    <mergeCell ref="A87:A88"/>
    <mergeCell ref="B87:B88"/>
    <mergeCell ref="C87:D88"/>
    <mergeCell ref="C46:D46"/>
    <mergeCell ref="C47:D47"/>
    <mergeCell ref="A2:D2"/>
    <mergeCell ref="A7:D7"/>
    <mergeCell ref="A34:A35"/>
    <mergeCell ref="B34:B35"/>
    <mergeCell ref="C34:D35"/>
    <mergeCell ref="C199:D199"/>
    <mergeCell ref="C200:D200"/>
    <mergeCell ref="A155:D155"/>
    <mergeCell ref="A160:D160"/>
    <mergeCell ref="A187:A188"/>
    <mergeCell ref="B187:B188"/>
    <mergeCell ref="C187:D188"/>
    <mergeCell ref="C249:D249"/>
    <mergeCell ref="C250:D250"/>
    <mergeCell ref="A205:D205"/>
    <mergeCell ref="A210:D210"/>
    <mergeCell ref="A237:A238"/>
    <mergeCell ref="B237:B238"/>
    <mergeCell ref="C237:D238"/>
    <mergeCell ref="C399:D399"/>
    <mergeCell ref="C400:D400"/>
    <mergeCell ref="A355:D355"/>
    <mergeCell ref="A360:D360"/>
    <mergeCell ref="A387:A388"/>
    <mergeCell ref="B387:B388"/>
    <mergeCell ref="C387:D388"/>
  </mergeCells>
  <pageMargins left="0.70866141732283472" right="0.70866141732283472" top="0.74803149606299213" bottom="0.74803149606299213" header="0.31496062992125984" footer="0.31496062992125984"/>
  <pageSetup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12</vt:i4>
      </vt:variant>
    </vt:vector>
  </HeadingPairs>
  <TitlesOfParts>
    <vt:vector size="50" baseType="lpstr">
      <vt:lpstr>WILSON</vt:lpstr>
      <vt:lpstr>FROILAN</vt:lpstr>
      <vt:lpstr>CARLOS CHIMBO</vt:lpstr>
      <vt:lpstr>EDWIN AJON</vt:lpstr>
      <vt:lpstr>DEISY GREFA</vt:lpstr>
      <vt:lpstr>Hoja6</vt:lpstr>
      <vt:lpstr>JESSICA AROCA</vt:lpstr>
      <vt:lpstr>JOSE LUIS</vt:lpstr>
      <vt:lpstr>ROMEL CASTILLO</vt:lpstr>
      <vt:lpstr>SECRETARIA-AUXILIAR</vt:lpstr>
      <vt:lpstr>ZAMORA RAMON</vt:lpstr>
      <vt:lpstr>XAVIER VASQUEZ</vt:lpstr>
      <vt:lpstr>MICHAEL VAICILLA</vt:lpstr>
      <vt:lpstr>WILMER CHALCO</vt:lpstr>
      <vt:lpstr>JUAN PAPA</vt:lpstr>
      <vt:lpstr>LUIS AJON</vt:lpstr>
      <vt:lpstr>GUARDIA</vt:lpstr>
      <vt:lpstr>HECTOR VELEZ </vt:lpstr>
      <vt:lpstr>ROL DE PAGO DE MAYO</vt:lpstr>
      <vt:lpstr>ROL DE JUNIO 2023</vt:lpstr>
      <vt:lpstr>Hoja3</vt:lpstr>
      <vt:lpstr>rol de julio</vt:lpstr>
      <vt:lpstr>LISTA DE EMPLEADOS</vt:lpstr>
      <vt:lpstr>Hoja1</vt:lpstr>
      <vt:lpstr>deci, 4to23</vt:lpstr>
      <vt:lpstr>ROL DE AGOSTO</vt:lpstr>
      <vt:lpstr>ROL INDIVIDUAL</vt:lpstr>
      <vt:lpstr>ROL SEP</vt:lpstr>
      <vt:lpstr>ROL IND.</vt:lpstr>
      <vt:lpstr>ROL OCT23</vt:lpstr>
      <vt:lpstr>ROL IND OCT23</vt:lpstr>
      <vt:lpstr>ROL NOVIEMBR</vt:lpstr>
      <vt:lpstr>ROL IND NOV23</vt:lpstr>
      <vt:lpstr>decimo</vt:lpstr>
      <vt:lpstr>DICIEMBRE</vt:lpstr>
      <vt:lpstr>DIC.IND.</vt:lpstr>
      <vt:lpstr>FONDO DE RESERVA</vt:lpstr>
      <vt:lpstr>Hoja7</vt:lpstr>
      <vt:lpstr>GUARDIA!Área_de_impresión</vt:lpstr>
      <vt:lpstr>'HECTOR VELEZ '!Área_de_impresión</vt:lpstr>
      <vt:lpstr>'JESSICA AROCA'!Área_de_impresión</vt:lpstr>
      <vt:lpstr>'JOSE LUIS'!Área_de_impresión</vt:lpstr>
      <vt:lpstr>'JUAN PAPA'!Área_de_impresión</vt:lpstr>
      <vt:lpstr>'LUIS AJON'!Área_de_impresión</vt:lpstr>
      <vt:lpstr>'MICHAEL VAICILLA'!Área_de_impresión</vt:lpstr>
      <vt:lpstr>'ROMEL CASTILLO'!Área_de_impresión</vt:lpstr>
      <vt:lpstr>'SECRETARIA-AUXILIAR'!Área_de_impresión</vt:lpstr>
      <vt:lpstr>'WILMER CHALCO'!Área_de_impresión</vt:lpstr>
      <vt:lpstr>'XAVIER VASQUEZ'!Área_de_impresión</vt:lpstr>
      <vt:lpstr>'ZAMORA RAMON'!Área_de_impresión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2024-01-22T21:13:19Z</cp:lastPrinted>
  <dcterms:created xsi:type="dcterms:W3CDTF">2020-03-30T20:01:52Z</dcterms:created>
  <dcterms:modified xsi:type="dcterms:W3CDTF">2024-01-26T16:27:23Z</dcterms:modified>
</cp:coreProperties>
</file>